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70" windowWidth="18555" windowHeight="11760" tabRatio="862" activeTab="6"/>
  </bookViews>
  <sheets>
    <sheet name="Equipos de Producción" sheetId="4" r:id="rId1"/>
    <sheet name="Equipos de Transporte" sheetId="1" r:id="rId2"/>
    <sheet name="Eq. Computos" sheetId="9" r:id="rId3"/>
    <sheet name="Equipos Médicos" sheetId="7" r:id="rId4"/>
    <sheet name="Equipos de Comunicaciones" sheetId="5" r:id="rId5"/>
    <sheet name="Eq. y Muebles de Ofic." sheetId="10" r:id="rId6"/>
    <sheet name="Equipos Varios" sheetId="2" r:id="rId7"/>
    <sheet name="Edificaciones" sheetId="3" r:id="rId8"/>
    <sheet name="Obras de Arte" sheetId="11" r:id="rId9"/>
    <sheet name="Resumén" sheetId="12" r:id="rId10"/>
    <sheet name="Hoja2" sheetId="13" r:id="rId11"/>
    <sheet name="Determinacion de Costos" sheetId="14" r:id="rId12"/>
    <sheet name="Determinacion de Costos (2)" sheetId="15" r:id="rId13"/>
    <sheet name="Determinacion de Costos (3)" sheetId="16" r:id="rId14"/>
  </sheets>
  <definedNames>
    <definedName name="_xlnm._FilterDatabase" localSheetId="2" hidden="1">'Eq. Computos'!$A$6:$X$248</definedName>
    <definedName name="_xlnm._FilterDatabase" localSheetId="5" hidden="1">'Eq. y Muebles de Ofic.'!$A$6:$X$871</definedName>
    <definedName name="_xlnm.Print_Area" localSheetId="7">Edificaciones!$A$1:$P$7</definedName>
    <definedName name="_xlnm.Print_Area" localSheetId="2">'Eq. Computos'!$A$1:$T$249</definedName>
    <definedName name="_xlnm.Print_Area" localSheetId="5">'Eq. y Muebles de Ofic.'!$A$1:$T$877</definedName>
    <definedName name="_xlnm.Print_Area" localSheetId="4">'Equipos de Comunicaciones'!$A$1:$Q$33</definedName>
    <definedName name="_xlnm.Print_Area" localSheetId="0">'Equipos de Producción'!$A$1:$S$48</definedName>
    <definedName name="_xlnm.Print_Area" localSheetId="1">'Equipos de Transporte'!$A$1:$T$14</definedName>
    <definedName name="_xlnm.Print_Area" localSheetId="3">'Equipos Médicos'!$A$1:$R$93</definedName>
    <definedName name="_xlnm.Print_Area" localSheetId="6">'Equipos Varios'!$A$1:$S$12</definedName>
    <definedName name="_xlnm.Print_Area" localSheetId="8">'Obras de Arte'!$A$1:$J$63</definedName>
    <definedName name="_xlnm.Print_Titles" localSheetId="2">'Eq. Computos'!$6:$6</definedName>
    <definedName name="_xlnm.Print_Titles" localSheetId="5">'Eq. y Muebles de Ofic.'!$6:$6</definedName>
    <definedName name="_xlnm.Print_Titles" localSheetId="3">'Equipos Médicos'!$7:$7</definedName>
    <definedName name="_xlnm.Print_Titles" localSheetId="8">'Obras de Arte'!$7:$7</definedName>
  </definedNames>
  <calcPr calcId="125725"/>
</workbook>
</file>

<file path=xl/calcChain.xml><?xml version="1.0" encoding="utf-8"?>
<calcChain xmlns="http://schemas.openxmlformats.org/spreadsheetml/2006/main">
  <c r="R1047" i="10"/>
  <c r="O83" i="5"/>
  <c r="P93" i="7"/>
  <c r="R345" i="9"/>
  <c r="R20" i="1"/>
  <c r="R48" i="4"/>
  <c r="Q48"/>
  <c r="Q83" i="5"/>
  <c r="P83"/>
  <c r="M83"/>
  <c r="M79"/>
  <c r="T78"/>
  <c r="O78"/>
  <c r="T77"/>
  <c r="O77"/>
  <c r="O79" s="1"/>
  <c r="C29" i="16"/>
  <c r="C31" s="1"/>
  <c r="B29"/>
  <c r="D28"/>
  <c r="E28" s="1"/>
  <c r="D27"/>
  <c r="E27" s="1"/>
  <c r="D26"/>
  <c r="E26" s="1"/>
  <c r="D25"/>
  <c r="E25" s="1"/>
  <c r="D24"/>
  <c r="E24" s="1"/>
  <c r="D23"/>
  <c r="E23" s="1"/>
  <c r="D22"/>
  <c r="E22" s="1"/>
  <c r="D21"/>
  <c r="E21" s="1"/>
  <c r="D20"/>
  <c r="E20" s="1"/>
  <c r="D19"/>
  <c r="E19" s="1"/>
  <c r="D18"/>
  <c r="E18" s="1"/>
  <c r="C15"/>
  <c r="B15"/>
  <c r="D14"/>
  <c r="D13"/>
  <c r="E13" s="1"/>
  <c r="D12"/>
  <c r="E12" s="1"/>
  <c r="S20" i="1"/>
  <c r="T20"/>
  <c r="N20"/>
  <c r="N18"/>
  <c r="T18"/>
  <c r="S18"/>
  <c r="R18"/>
  <c r="R17"/>
  <c r="R16"/>
  <c r="O75" i="5"/>
  <c r="M75"/>
  <c r="M71"/>
  <c r="O74"/>
  <c r="N1047" i="10"/>
  <c r="N1042"/>
  <c r="R1038"/>
  <c r="R1040"/>
  <c r="R1039"/>
  <c r="R1037"/>
  <c r="R1036"/>
  <c r="P78" i="5" l="1"/>
  <c r="Q78" s="1"/>
  <c r="P77"/>
  <c r="E29" i="16"/>
  <c r="E14"/>
  <c r="E15" s="1"/>
  <c r="B31"/>
  <c r="D15"/>
  <c r="F18"/>
  <c r="F19"/>
  <c r="H19" s="1"/>
  <c r="F20"/>
  <c r="H20" s="1"/>
  <c r="F21"/>
  <c r="H21" s="1"/>
  <c r="F22"/>
  <c r="H22" s="1"/>
  <c r="F23"/>
  <c r="H23" s="1"/>
  <c r="F24"/>
  <c r="H24" s="1"/>
  <c r="F25"/>
  <c r="H25" s="1"/>
  <c r="F26"/>
  <c r="H26" s="1"/>
  <c r="F27"/>
  <c r="H27" s="1"/>
  <c r="F28"/>
  <c r="H28" s="1"/>
  <c r="D29"/>
  <c r="D31" s="1"/>
  <c r="F12"/>
  <c r="F13"/>
  <c r="R1041" i="10"/>
  <c r="R1035"/>
  <c r="R1042" s="1"/>
  <c r="R1032"/>
  <c r="N1032"/>
  <c r="R1031"/>
  <c r="G1031"/>
  <c r="G1030"/>
  <c r="R1030"/>
  <c r="R1027"/>
  <c r="N1027"/>
  <c r="N345" i="9"/>
  <c r="P325"/>
  <c r="L349"/>
  <c r="O68" i="5"/>
  <c r="M70"/>
  <c r="O69"/>
  <c r="O67"/>
  <c r="O66"/>
  <c r="O65"/>
  <c r="O64"/>
  <c r="O63"/>
  <c r="O62"/>
  <c r="O61"/>
  <c r="O70" s="1"/>
  <c r="C15" i="15"/>
  <c r="B15"/>
  <c r="D14"/>
  <c r="E14" s="1"/>
  <c r="D13"/>
  <c r="E13" s="1"/>
  <c r="F13" s="1"/>
  <c r="D28"/>
  <c r="E28" s="1"/>
  <c r="D27"/>
  <c r="E27" s="1"/>
  <c r="D26"/>
  <c r="E26" s="1"/>
  <c r="D25"/>
  <c r="E25" s="1"/>
  <c r="D24"/>
  <c r="E24" s="1"/>
  <c r="D23"/>
  <c r="E23" s="1"/>
  <c r="D22"/>
  <c r="D21"/>
  <c r="D20"/>
  <c r="D19"/>
  <c r="P79" i="5" l="1"/>
  <c r="Q77"/>
  <c r="Q79" s="1"/>
  <c r="E31" i="16"/>
  <c r="F14"/>
  <c r="F15" s="1"/>
  <c r="H18"/>
  <c r="H29" s="1"/>
  <c r="F29"/>
  <c r="F28" i="15"/>
  <c r="H28" s="1"/>
  <c r="F27"/>
  <c r="H27" s="1"/>
  <c r="F26"/>
  <c r="H26" s="1"/>
  <c r="F25"/>
  <c r="H25" s="1"/>
  <c r="F24"/>
  <c r="H24" s="1"/>
  <c r="F23"/>
  <c r="H23" s="1"/>
  <c r="F14"/>
  <c r="E19"/>
  <c r="F19" s="1"/>
  <c r="H19" s="1"/>
  <c r="E20"/>
  <c r="F20" s="1"/>
  <c r="H20" s="1"/>
  <c r="E21"/>
  <c r="F21" s="1"/>
  <c r="H21" s="1"/>
  <c r="E22"/>
  <c r="F22" s="1"/>
  <c r="H22" s="1"/>
  <c r="N48" i="4"/>
  <c r="N46"/>
  <c r="Q46"/>
  <c r="Q45"/>
  <c r="U45"/>
  <c r="O56" i="5"/>
  <c r="O55"/>
  <c r="O54"/>
  <c r="O52"/>
  <c r="M58"/>
  <c r="O51"/>
  <c r="O57"/>
  <c r="O53"/>
  <c r="O50"/>
  <c r="O58" s="1"/>
  <c r="N1025" i="10"/>
  <c r="R1024"/>
  <c r="R1023"/>
  <c r="J15" i="14"/>
  <c r="J14"/>
  <c r="E17"/>
  <c r="N93" i="7"/>
  <c r="R1021" i="10"/>
  <c r="N1021"/>
  <c r="R1020"/>
  <c r="R1019"/>
  <c r="R1018"/>
  <c r="R343" i="9"/>
  <c r="N343"/>
  <c r="N1016" i="10"/>
  <c r="R1012"/>
  <c r="S1012" s="1"/>
  <c r="T1012" s="1"/>
  <c r="R1011"/>
  <c r="S1011" s="1"/>
  <c r="T1011" s="1"/>
  <c r="R1010"/>
  <c r="S1010" s="1"/>
  <c r="T1010" s="1"/>
  <c r="R1009"/>
  <c r="R1016" s="1"/>
  <c r="R1014"/>
  <c r="R1015"/>
  <c r="R1013"/>
  <c r="N1007"/>
  <c r="R1006"/>
  <c r="R1005"/>
  <c r="R1007" s="1"/>
  <c r="G33" i="16" l="1"/>
  <c r="G12" s="1"/>
  <c r="F31"/>
  <c r="R45" i="4"/>
  <c r="R46" s="1"/>
  <c r="R1025" i="10"/>
  <c r="R340" i="9"/>
  <c r="R339"/>
  <c r="R338"/>
  <c r="R337"/>
  <c r="O1047" i="10"/>
  <c r="P1047"/>
  <c r="R328" i="9"/>
  <c r="R329"/>
  <c r="R330"/>
  <c r="R331"/>
  <c r="R332"/>
  <c r="R333"/>
  <c r="R334"/>
  <c r="R327"/>
  <c r="R335" s="1"/>
  <c r="R323"/>
  <c r="N335"/>
  <c r="G13" i="16" l="1"/>
  <c r="H12"/>
  <c r="S45" i="4"/>
  <c r="S46" s="1"/>
  <c r="X4" i="10"/>
  <c r="R1002"/>
  <c r="R1003" s="1"/>
  <c r="N1003"/>
  <c r="G14" i="16" l="1"/>
  <c r="H14" s="1"/>
  <c r="J12" s="1"/>
  <c r="H13"/>
  <c r="X1038" i="10"/>
  <c r="S1038" s="1"/>
  <c r="T1038" s="1"/>
  <c r="X1039"/>
  <c r="S1039" s="1"/>
  <c r="T1039" s="1"/>
  <c r="X1036"/>
  <c r="S1036" s="1"/>
  <c r="T1036" s="1"/>
  <c r="X1040"/>
  <c r="S1040" s="1"/>
  <c r="T1040" s="1"/>
  <c r="X1037"/>
  <c r="S1037" s="1"/>
  <c r="T1037" s="1"/>
  <c r="X1041"/>
  <c r="S1041" s="1"/>
  <c r="T1041" s="1"/>
  <c r="X1035"/>
  <c r="S1035" s="1"/>
  <c r="X1030"/>
  <c r="S1030" s="1"/>
  <c r="X1031"/>
  <c r="S1031" s="1"/>
  <c r="T1031" s="1"/>
  <c r="X1024"/>
  <c r="S1024" s="1"/>
  <c r="T1024" s="1"/>
  <c r="X1023"/>
  <c r="S1023" s="1"/>
  <c r="X1018"/>
  <c r="S1018" s="1"/>
  <c r="X1020"/>
  <c r="S1020" s="1"/>
  <c r="T1020" s="1"/>
  <c r="X1019"/>
  <c r="S1019" s="1"/>
  <c r="T1019" s="1"/>
  <c r="X1014"/>
  <c r="S1014" s="1"/>
  <c r="T1014" s="1"/>
  <c r="X1008"/>
  <c r="X1007"/>
  <c r="X1009"/>
  <c r="S1009" s="1"/>
  <c r="X1015"/>
  <c r="S1015" s="1"/>
  <c r="T1015" s="1"/>
  <c r="X1013"/>
  <c r="S1013" s="1"/>
  <c r="T1013" s="1"/>
  <c r="X1006"/>
  <c r="S1006" s="1"/>
  <c r="T1006" s="1"/>
  <c r="X1005"/>
  <c r="S1005" s="1"/>
  <c r="X1002"/>
  <c r="S1002" s="1"/>
  <c r="S1003" s="1"/>
  <c r="H15" i="16" l="1"/>
  <c r="H31" s="1"/>
  <c r="T1035" i="10"/>
  <c r="T1042" s="1"/>
  <c r="S1042"/>
  <c r="T1030"/>
  <c r="T1032" s="1"/>
  <c r="S1032"/>
  <c r="S1025"/>
  <c r="T1023"/>
  <c r="T1025" s="1"/>
  <c r="T1018"/>
  <c r="T1021" s="1"/>
  <c r="S1021"/>
  <c r="S1016"/>
  <c r="T1009"/>
  <c r="T1016" s="1"/>
  <c r="T1005"/>
  <c r="T1007" s="1"/>
  <c r="S1007"/>
  <c r="T1002"/>
  <c r="T1003" s="1"/>
  <c r="R990"/>
  <c r="R988"/>
  <c r="X994"/>
  <c r="R994"/>
  <c r="N1000"/>
  <c r="R999"/>
  <c r="R998"/>
  <c r="R1000" s="1"/>
  <c r="N996"/>
  <c r="R995"/>
  <c r="R996" s="1"/>
  <c r="V4" i="1"/>
  <c r="V17" l="1"/>
  <c r="S17" s="1"/>
  <c r="T17" s="1"/>
  <c r="V16"/>
  <c r="S16" s="1"/>
  <c r="S994" i="10"/>
  <c r="T994" s="1"/>
  <c r="N324" i="9"/>
  <c r="T16" i="1" l="1"/>
  <c r="R299" i="9"/>
  <c r="R300"/>
  <c r="R301"/>
  <c r="R302"/>
  <c r="R303"/>
  <c r="R304"/>
  <c r="R305"/>
  <c r="R306"/>
  <c r="R307"/>
  <c r="R308"/>
  <c r="R309"/>
  <c r="R310"/>
  <c r="R311"/>
  <c r="R312"/>
  <c r="R313"/>
  <c r="R314"/>
  <c r="R315"/>
  <c r="R316"/>
  <c r="R317"/>
  <c r="R318"/>
  <c r="R319"/>
  <c r="R320"/>
  <c r="R321"/>
  <c r="R298"/>
  <c r="R324" s="1"/>
  <c r="P986" i="10"/>
  <c r="O986"/>
  <c r="R985"/>
  <c r="R984"/>
  <c r="R983"/>
  <c r="R982"/>
  <c r="R981"/>
  <c r="R980"/>
  <c r="R979"/>
  <c r="R978"/>
  <c r="R977"/>
  <c r="R976"/>
  <c r="R975"/>
  <c r="R974"/>
  <c r="R973"/>
  <c r="R972"/>
  <c r="R971"/>
  <c r="R970"/>
  <c r="R969"/>
  <c r="R968"/>
  <c r="R967"/>
  <c r="R966"/>
  <c r="R965"/>
  <c r="R964"/>
  <c r="R963"/>
  <c r="R962"/>
  <c r="R961"/>
  <c r="R960"/>
  <c r="R959" l="1"/>
  <c r="R958"/>
  <c r="R957"/>
  <c r="R956"/>
  <c r="R955"/>
  <c r="R954"/>
  <c r="R953"/>
  <c r="R952"/>
  <c r="R951"/>
  <c r="R950"/>
  <c r="R949"/>
  <c r="R943"/>
  <c r="R942"/>
  <c r="R941"/>
  <c r="R940"/>
  <c r="R939"/>
  <c r="R938"/>
  <c r="R937"/>
  <c r="R936"/>
  <c r="R935"/>
  <c r="R934"/>
  <c r="R933"/>
  <c r="R932"/>
  <c r="R931"/>
  <c r="R930"/>
  <c r="R929"/>
  <c r="R928"/>
  <c r="R927"/>
  <c r="R926"/>
  <c r="R925"/>
  <c r="R924"/>
  <c r="R923"/>
  <c r="R922"/>
  <c r="R921"/>
  <c r="R920"/>
  <c r="R919"/>
  <c r="R918"/>
  <c r="R917"/>
  <c r="R916"/>
  <c r="R915"/>
  <c r="R914"/>
  <c r="R913"/>
  <c r="R912"/>
  <c r="R911"/>
  <c r="R910"/>
  <c r="R909"/>
  <c r="R908"/>
  <c r="R907"/>
  <c r="R906"/>
  <c r="R905"/>
  <c r="R904"/>
  <c r="R903"/>
  <c r="R902"/>
  <c r="R901"/>
  <c r="R900"/>
  <c r="R899"/>
  <c r="R898"/>
  <c r="R897"/>
  <c r="R896"/>
  <c r="R895"/>
  <c r="R894"/>
  <c r="R893"/>
  <c r="N948" l="1"/>
  <c r="R948" s="1"/>
  <c r="N947"/>
  <c r="R947" s="1"/>
  <c r="N946"/>
  <c r="R946" s="1"/>
  <c r="N945"/>
  <c r="R945" s="1"/>
  <c r="N88" i="7"/>
  <c r="P88" s="1"/>
  <c r="N89"/>
  <c r="P89" s="1"/>
  <c r="N90"/>
  <c r="P90" s="1"/>
  <c r="N87"/>
  <c r="P87" s="1"/>
  <c r="N84"/>
  <c r="P84" s="1"/>
  <c r="N85"/>
  <c r="P85" s="1"/>
  <c r="N86"/>
  <c r="P86" s="1"/>
  <c r="N83"/>
  <c r="P83" s="1"/>
  <c r="N78"/>
  <c r="P78" s="1"/>
  <c r="N79"/>
  <c r="P79" s="1"/>
  <c r="N80"/>
  <c r="P80" s="1"/>
  <c r="N81"/>
  <c r="P81" s="1"/>
  <c r="N82"/>
  <c r="P82" s="1"/>
  <c r="N77"/>
  <c r="P77" s="1"/>
  <c r="N73"/>
  <c r="P73" s="1"/>
  <c r="N74"/>
  <c r="P74" s="1"/>
  <c r="N75"/>
  <c r="P75" s="1"/>
  <c r="N76"/>
  <c r="P76" s="1"/>
  <c r="N72"/>
  <c r="P72" s="1"/>
  <c r="N69"/>
  <c r="P69" s="1"/>
  <c r="N70"/>
  <c r="N71"/>
  <c r="P70"/>
  <c r="P71"/>
  <c r="N891" i="10"/>
  <c r="R879"/>
  <c r="R880"/>
  <c r="R881"/>
  <c r="R882"/>
  <c r="R883"/>
  <c r="R884"/>
  <c r="R885"/>
  <c r="R886"/>
  <c r="R887"/>
  <c r="R888"/>
  <c r="R889"/>
  <c r="R890"/>
  <c r="R878"/>
  <c r="N944"/>
  <c r="A3" i="5"/>
  <c r="A4" i="7"/>
  <c r="S248" i="9"/>
  <c r="T248" s="1"/>
  <c r="S870" i="10"/>
  <c r="T870" s="1"/>
  <c r="N986" l="1"/>
  <c r="R944"/>
  <c r="R986" s="1"/>
  <c r="P91" i="7"/>
  <c r="N91"/>
  <c r="R891" i="10"/>
  <c r="N876"/>
  <c r="P30" i="5" l="1"/>
  <c r="Q30" s="1"/>
  <c r="M48"/>
  <c r="S13" i="1"/>
  <c r="T13"/>
  <c r="C29" i="15" l="1"/>
  <c r="B29"/>
  <c r="D18"/>
  <c r="D12"/>
  <c r="C19" i="14"/>
  <c r="B19"/>
  <c r="D18"/>
  <c r="E18" s="1"/>
  <c r="D17"/>
  <c r="B14"/>
  <c r="D13"/>
  <c r="E13" s="1"/>
  <c r="C14"/>
  <c r="N294" i="9"/>
  <c r="R293"/>
  <c r="R292"/>
  <c r="O47" i="5"/>
  <c r="F47"/>
  <c r="O46"/>
  <c r="F46"/>
  <c r="O45"/>
  <c r="F45"/>
  <c r="O44"/>
  <c r="F44"/>
  <c r="O43"/>
  <c r="F43"/>
  <c r="O42"/>
  <c r="F42"/>
  <c r="O41"/>
  <c r="F41"/>
  <c r="O40"/>
  <c r="F40"/>
  <c r="O39"/>
  <c r="F39"/>
  <c r="O38"/>
  <c r="F38"/>
  <c r="O37"/>
  <c r="F37"/>
  <c r="O36"/>
  <c r="O48" s="1"/>
  <c r="F36"/>
  <c r="F23"/>
  <c r="R289" i="9"/>
  <c r="R288"/>
  <c r="R286"/>
  <c r="R287"/>
  <c r="R284"/>
  <c r="R282"/>
  <c r="R281"/>
  <c r="R280"/>
  <c r="R279"/>
  <c r="R278"/>
  <c r="R277"/>
  <c r="R276"/>
  <c r="R275"/>
  <c r="R274"/>
  <c r="R273"/>
  <c r="R272"/>
  <c r="R271"/>
  <c r="R270"/>
  <c r="R269"/>
  <c r="R268"/>
  <c r="R267"/>
  <c r="R266"/>
  <c r="R265"/>
  <c r="R264"/>
  <c r="R263"/>
  <c r="R261"/>
  <c r="R260"/>
  <c r="R259"/>
  <c r="R258"/>
  <c r="R257"/>
  <c r="R256"/>
  <c r="R255"/>
  <c r="R254"/>
  <c r="R253"/>
  <c r="R252"/>
  <c r="R4" i="3"/>
  <c r="X5" i="2"/>
  <c r="U5" i="7"/>
  <c r="T5" i="5" s="1"/>
  <c r="W4" i="9"/>
  <c r="V8" i="1"/>
  <c r="A3" i="10"/>
  <c r="X801"/>
  <c r="M31" i="5"/>
  <c r="A3" i="12"/>
  <c r="A4" i="11"/>
  <c r="A3" i="3"/>
  <c r="A4" i="2"/>
  <c r="A3" i="9"/>
  <c r="A3" i="1"/>
  <c r="C26" i="12"/>
  <c r="D26" s="1"/>
  <c r="T68" i="5" l="1"/>
  <c r="P68" s="1"/>
  <c r="Q68" s="1"/>
  <c r="T74"/>
  <c r="P74" s="1"/>
  <c r="T56"/>
  <c r="P56" s="1"/>
  <c r="Q56" s="1"/>
  <c r="T69"/>
  <c r="P69" s="1"/>
  <c r="Q69" s="1"/>
  <c r="T65"/>
  <c r="P65" s="1"/>
  <c r="Q65" s="1"/>
  <c r="T64"/>
  <c r="P64" s="1"/>
  <c r="Q64" s="1"/>
  <c r="T63"/>
  <c r="P63" s="1"/>
  <c r="Q63" s="1"/>
  <c r="T62"/>
  <c r="P62" s="1"/>
  <c r="Q62" s="1"/>
  <c r="T61"/>
  <c r="P61" s="1"/>
  <c r="T67"/>
  <c r="P67" s="1"/>
  <c r="Q67" s="1"/>
  <c r="T66"/>
  <c r="P66" s="1"/>
  <c r="Q66" s="1"/>
  <c r="E12" i="15"/>
  <c r="D15"/>
  <c r="D29"/>
  <c r="E18"/>
  <c r="E29" s="1"/>
  <c r="B31"/>
  <c r="D31"/>
  <c r="C31"/>
  <c r="T55" i="5"/>
  <c r="P55" s="1"/>
  <c r="Q55" s="1"/>
  <c r="T54"/>
  <c r="P54" s="1"/>
  <c r="Q54" s="1"/>
  <c r="T51"/>
  <c r="P51" s="1"/>
  <c r="Q51" s="1"/>
  <c r="T52"/>
  <c r="P52" s="1"/>
  <c r="Q52" s="1"/>
  <c r="T36"/>
  <c r="P36" s="1"/>
  <c r="Q36" s="1"/>
  <c r="T57"/>
  <c r="P57" s="1"/>
  <c r="Q57" s="1"/>
  <c r="T53"/>
  <c r="P53" s="1"/>
  <c r="Q53" s="1"/>
  <c r="T50"/>
  <c r="P50" s="1"/>
  <c r="B21" i="14"/>
  <c r="W335" i="9"/>
  <c r="W337"/>
  <c r="S337" s="1"/>
  <c r="W339"/>
  <c r="S339" s="1"/>
  <c r="T339" s="1"/>
  <c r="W336"/>
  <c r="W338"/>
  <c r="S338" s="1"/>
  <c r="T338" s="1"/>
  <c r="W340"/>
  <c r="S340" s="1"/>
  <c r="T340" s="1"/>
  <c r="W334"/>
  <c r="S334" s="1"/>
  <c r="T334" s="1"/>
  <c r="W342"/>
  <c r="S342" s="1"/>
  <c r="T342" s="1"/>
  <c r="W327"/>
  <c r="S327" s="1"/>
  <c r="W331"/>
  <c r="S331" s="1"/>
  <c r="T331" s="1"/>
  <c r="W330"/>
  <c r="S330" s="1"/>
  <c r="T330" s="1"/>
  <c r="W332"/>
  <c r="S332" s="1"/>
  <c r="T332" s="1"/>
  <c r="W329"/>
  <c r="S329" s="1"/>
  <c r="T329" s="1"/>
  <c r="W328"/>
  <c r="S328" s="1"/>
  <c r="T328" s="1"/>
  <c r="W333"/>
  <c r="S333" s="1"/>
  <c r="T333" s="1"/>
  <c r="X998" i="10"/>
  <c r="S998" s="1"/>
  <c r="X999"/>
  <c r="S999" s="1"/>
  <c r="T999" s="1"/>
  <c r="X995"/>
  <c r="S995" s="1"/>
  <c r="R294" i="9"/>
  <c r="W289"/>
  <c r="S289" s="1"/>
  <c r="T289" s="1"/>
  <c r="W323"/>
  <c r="S323" s="1"/>
  <c r="T323" s="1"/>
  <c r="X988" i="10"/>
  <c r="S988" s="1"/>
  <c r="T988" s="1"/>
  <c r="X981"/>
  <c r="S981" s="1"/>
  <c r="T981" s="1"/>
  <c r="X979"/>
  <c r="S979" s="1"/>
  <c r="T979" s="1"/>
  <c r="X977"/>
  <c r="S977" s="1"/>
  <c r="T977" s="1"/>
  <c r="X985"/>
  <c r="S985" s="1"/>
  <c r="T985" s="1"/>
  <c r="X984"/>
  <c r="S984" s="1"/>
  <c r="T984" s="1"/>
  <c r="X983"/>
  <c r="S983" s="1"/>
  <c r="T983" s="1"/>
  <c r="X982"/>
  <c r="S982" s="1"/>
  <c r="T982" s="1"/>
  <c r="X980"/>
  <c r="S980" s="1"/>
  <c r="T980" s="1"/>
  <c r="X978"/>
  <c r="S978" s="1"/>
  <c r="T978" s="1"/>
  <c r="X976"/>
  <c r="S976" s="1"/>
  <c r="T976" s="1"/>
  <c r="X975"/>
  <c r="S975" s="1"/>
  <c r="T975" s="1"/>
  <c r="X974"/>
  <c r="S974" s="1"/>
  <c r="T974" s="1"/>
  <c r="X973"/>
  <c r="S973" s="1"/>
  <c r="T973" s="1"/>
  <c r="X972"/>
  <c r="S972" s="1"/>
  <c r="T972" s="1"/>
  <c r="X971"/>
  <c r="S971" s="1"/>
  <c r="T971" s="1"/>
  <c r="X970"/>
  <c r="S970" s="1"/>
  <c r="T970" s="1"/>
  <c r="X969"/>
  <c r="S969" s="1"/>
  <c r="T969" s="1"/>
  <c r="X968"/>
  <c r="S968" s="1"/>
  <c r="T968" s="1"/>
  <c r="X967"/>
  <c r="S967" s="1"/>
  <c r="T967" s="1"/>
  <c r="X966"/>
  <c r="S966" s="1"/>
  <c r="T966" s="1"/>
  <c r="X965"/>
  <c r="S965" s="1"/>
  <c r="T965" s="1"/>
  <c r="X964"/>
  <c r="S964" s="1"/>
  <c r="T964" s="1"/>
  <c r="X963"/>
  <c r="S963" s="1"/>
  <c r="T963" s="1"/>
  <c r="X962"/>
  <c r="S962" s="1"/>
  <c r="T962" s="1"/>
  <c r="X961"/>
  <c r="S961" s="1"/>
  <c r="T961" s="1"/>
  <c r="X960"/>
  <c r="S960" s="1"/>
  <c r="T960" s="1"/>
  <c r="X990"/>
  <c r="S990" s="1"/>
  <c r="T990" s="1"/>
  <c r="X954"/>
  <c r="S954" s="1"/>
  <c r="T954" s="1"/>
  <c r="X956"/>
  <c r="S956" s="1"/>
  <c r="T956" s="1"/>
  <c r="X958"/>
  <c r="S958" s="1"/>
  <c r="T958" s="1"/>
  <c r="X955"/>
  <c r="S955" s="1"/>
  <c r="T955" s="1"/>
  <c r="X957"/>
  <c r="S957" s="1"/>
  <c r="T957" s="1"/>
  <c r="X959"/>
  <c r="S959" s="1"/>
  <c r="T959" s="1"/>
  <c r="X953"/>
  <c r="S953" s="1"/>
  <c r="T953" s="1"/>
  <c r="X952"/>
  <c r="S952" s="1"/>
  <c r="T952" s="1"/>
  <c r="X950"/>
  <c r="S950" s="1"/>
  <c r="T950" s="1"/>
  <c r="X951"/>
  <c r="S951" s="1"/>
  <c r="T951" s="1"/>
  <c r="X949"/>
  <c r="S949" s="1"/>
  <c r="X946"/>
  <c r="S946" s="1"/>
  <c r="T946" s="1"/>
  <c r="X948"/>
  <c r="S948" s="1"/>
  <c r="T948" s="1"/>
  <c r="X945"/>
  <c r="S945" s="1"/>
  <c r="T945" s="1"/>
  <c r="X947"/>
  <c r="S947" s="1"/>
  <c r="T947" s="1"/>
  <c r="U73" i="7"/>
  <c r="Q73" s="1"/>
  <c r="R73" s="1"/>
  <c r="U75"/>
  <c r="Q75" s="1"/>
  <c r="R75" s="1"/>
  <c r="U77"/>
  <c r="Q77" s="1"/>
  <c r="R77" s="1"/>
  <c r="U79"/>
  <c r="Q79" s="1"/>
  <c r="R79" s="1"/>
  <c r="U81"/>
  <c r="Q81" s="1"/>
  <c r="R81" s="1"/>
  <c r="U83"/>
  <c r="Q83" s="1"/>
  <c r="R83" s="1"/>
  <c r="U85"/>
  <c r="Q85" s="1"/>
  <c r="R85" s="1"/>
  <c r="U87"/>
  <c r="Q87" s="1"/>
  <c r="R87" s="1"/>
  <c r="U89"/>
  <c r="Q89" s="1"/>
  <c r="R89" s="1"/>
  <c r="U72"/>
  <c r="Q72" s="1"/>
  <c r="R72" s="1"/>
  <c r="U74"/>
  <c r="Q74" s="1"/>
  <c r="R74" s="1"/>
  <c r="U76"/>
  <c r="Q76" s="1"/>
  <c r="R76" s="1"/>
  <c r="U78"/>
  <c r="Q78" s="1"/>
  <c r="R78" s="1"/>
  <c r="U80"/>
  <c r="Q80" s="1"/>
  <c r="R80" s="1"/>
  <c r="U82"/>
  <c r="Q82" s="1"/>
  <c r="R82" s="1"/>
  <c r="U84"/>
  <c r="Q84" s="1"/>
  <c r="R84" s="1"/>
  <c r="U86"/>
  <c r="Q86" s="1"/>
  <c r="R86" s="1"/>
  <c r="U88"/>
  <c r="Q88" s="1"/>
  <c r="R88" s="1"/>
  <c r="U90"/>
  <c r="Q90" s="1"/>
  <c r="R90" s="1"/>
  <c r="U70"/>
  <c r="Q70" s="1"/>
  <c r="R70" s="1"/>
  <c r="U71"/>
  <c r="Q71" s="1"/>
  <c r="R71" s="1"/>
  <c r="U69"/>
  <c r="Q69" s="1"/>
  <c r="X943" i="10"/>
  <c r="S943" s="1"/>
  <c r="T943" s="1"/>
  <c r="X941"/>
  <c r="S941" s="1"/>
  <c r="T941" s="1"/>
  <c r="X939"/>
  <c r="S939" s="1"/>
  <c r="T939" s="1"/>
  <c r="X937"/>
  <c r="S937" s="1"/>
  <c r="T937" s="1"/>
  <c r="X935"/>
  <c r="S935" s="1"/>
  <c r="T935" s="1"/>
  <c r="X933"/>
  <c r="S933" s="1"/>
  <c r="T933" s="1"/>
  <c r="X931"/>
  <c r="S931" s="1"/>
  <c r="T931" s="1"/>
  <c r="X929"/>
  <c r="S929" s="1"/>
  <c r="T929" s="1"/>
  <c r="X927"/>
  <c r="S927" s="1"/>
  <c r="T927" s="1"/>
  <c r="X925"/>
  <c r="S925" s="1"/>
  <c r="T925" s="1"/>
  <c r="X923"/>
  <c r="S923" s="1"/>
  <c r="T923" s="1"/>
  <c r="X921"/>
  <c r="S921" s="1"/>
  <c r="T921" s="1"/>
  <c r="X919"/>
  <c r="S919" s="1"/>
  <c r="T919" s="1"/>
  <c r="X917"/>
  <c r="S917" s="1"/>
  <c r="T917" s="1"/>
  <c r="X915"/>
  <c r="S915" s="1"/>
  <c r="T915" s="1"/>
  <c r="X913"/>
  <c r="S913" s="1"/>
  <c r="T913" s="1"/>
  <c r="X911"/>
  <c r="S911" s="1"/>
  <c r="T911" s="1"/>
  <c r="X909"/>
  <c r="S909" s="1"/>
  <c r="T909" s="1"/>
  <c r="X907"/>
  <c r="S907" s="1"/>
  <c r="T907" s="1"/>
  <c r="X905"/>
  <c r="S905" s="1"/>
  <c r="T905" s="1"/>
  <c r="X903"/>
  <c r="S903" s="1"/>
  <c r="T903" s="1"/>
  <c r="X901"/>
  <c r="S901" s="1"/>
  <c r="T901" s="1"/>
  <c r="X944"/>
  <c r="S944" s="1"/>
  <c r="T944" s="1"/>
  <c r="X942"/>
  <c r="S942" s="1"/>
  <c r="T942" s="1"/>
  <c r="X940"/>
  <c r="S940" s="1"/>
  <c r="T940" s="1"/>
  <c r="X938"/>
  <c r="S938" s="1"/>
  <c r="T938" s="1"/>
  <c r="X936"/>
  <c r="S936" s="1"/>
  <c r="T936" s="1"/>
  <c r="X934"/>
  <c r="S934" s="1"/>
  <c r="T934" s="1"/>
  <c r="X932"/>
  <c r="S932" s="1"/>
  <c r="T932" s="1"/>
  <c r="X930"/>
  <c r="S930" s="1"/>
  <c r="T930" s="1"/>
  <c r="X928"/>
  <c r="S928" s="1"/>
  <c r="T928" s="1"/>
  <c r="X926"/>
  <c r="S926" s="1"/>
  <c r="T926" s="1"/>
  <c r="X924"/>
  <c r="S924" s="1"/>
  <c r="T924" s="1"/>
  <c r="X922"/>
  <c r="S922" s="1"/>
  <c r="T922" s="1"/>
  <c r="X920"/>
  <c r="S920" s="1"/>
  <c r="T920" s="1"/>
  <c r="X918"/>
  <c r="S918" s="1"/>
  <c r="T918" s="1"/>
  <c r="X916"/>
  <c r="S916" s="1"/>
  <c r="T916" s="1"/>
  <c r="X914"/>
  <c r="S914" s="1"/>
  <c r="T914" s="1"/>
  <c r="X912"/>
  <c r="S912" s="1"/>
  <c r="T912" s="1"/>
  <c r="X910"/>
  <c r="S910" s="1"/>
  <c r="T910" s="1"/>
  <c r="X908"/>
  <c r="S908" s="1"/>
  <c r="T908" s="1"/>
  <c r="X906"/>
  <c r="S906" s="1"/>
  <c r="T906" s="1"/>
  <c r="X904"/>
  <c r="S904" s="1"/>
  <c r="T904" s="1"/>
  <c r="X902"/>
  <c r="S902" s="1"/>
  <c r="T902" s="1"/>
  <c r="X893"/>
  <c r="S893" s="1"/>
  <c r="X895"/>
  <c r="S895" s="1"/>
  <c r="T895" s="1"/>
  <c r="X897"/>
  <c r="S897" s="1"/>
  <c r="T897" s="1"/>
  <c r="X899"/>
  <c r="S899" s="1"/>
  <c r="T899" s="1"/>
  <c r="X894"/>
  <c r="S894" s="1"/>
  <c r="T894" s="1"/>
  <c r="X896"/>
  <c r="S896" s="1"/>
  <c r="T896" s="1"/>
  <c r="X898"/>
  <c r="S898" s="1"/>
  <c r="T898" s="1"/>
  <c r="X900"/>
  <c r="S900" s="1"/>
  <c r="T900" s="1"/>
  <c r="X800"/>
  <c r="X878"/>
  <c r="S878" s="1"/>
  <c r="T878" s="1"/>
  <c r="W309" i="9"/>
  <c r="S309" s="1"/>
  <c r="T309" s="1"/>
  <c r="W311"/>
  <c r="S311" s="1"/>
  <c r="T311" s="1"/>
  <c r="W312"/>
  <c r="S312" s="1"/>
  <c r="T312" s="1"/>
  <c r="W314"/>
  <c r="S314" s="1"/>
  <c r="T314" s="1"/>
  <c r="W315"/>
  <c r="S315" s="1"/>
  <c r="T315" s="1"/>
  <c r="W316"/>
  <c r="S316" s="1"/>
  <c r="T316" s="1"/>
  <c r="W318"/>
  <c r="W319"/>
  <c r="S319" s="1"/>
  <c r="T319" s="1"/>
  <c r="W321"/>
  <c r="X879" i="10"/>
  <c r="S879" s="1"/>
  <c r="T879" s="1"/>
  <c r="X880"/>
  <c r="S880" s="1"/>
  <c r="T880" s="1"/>
  <c r="X881"/>
  <c r="S881" s="1"/>
  <c r="T881" s="1"/>
  <c r="X882"/>
  <c r="S882" s="1"/>
  <c r="T882" s="1"/>
  <c r="X883"/>
  <c r="S883" s="1"/>
  <c r="T883" s="1"/>
  <c r="X884"/>
  <c r="S884" s="1"/>
  <c r="T884" s="1"/>
  <c r="X885"/>
  <c r="S885" s="1"/>
  <c r="T885" s="1"/>
  <c r="X890"/>
  <c r="S890" s="1"/>
  <c r="T890" s="1"/>
  <c r="W298" i="9"/>
  <c r="S298" s="1"/>
  <c r="W299"/>
  <c r="S299" s="1"/>
  <c r="T299" s="1"/>
  <c r="W300"/>
  <c r="S300" s="1"/>
  <c r="T300" s="1"/>
  <c r="W301"/>
  <c r="S301" s="1"/>
  <c r="T301" s="1"/>
  <c r="W302"/>
  <c r="S302" s="1"/>
  <c r="T302" s="1"/>
  <c r="W303"/>
  <c r="S303" s="1"/>
  <c r="T303" s="1"/>
  <c r="W304"/>
  <c r="S304" s="1"/>
  <c r="T304" s="1"/>
  <c r="W305"/>
  <c r="S305" s="1"/>
  <c r="T305" s="1"/>
  <c r="W306"/>
  <c r="S306" s="1"/>
  <c r="T306" s="1"/>
  <c r="W307"/>
  <c r="S307" s="1"/>
  <c r="T307" s="1"/>
  <c r="W308"/>
  <c r="S308" s="1"/>
  <c r="T308" s="1"/>
  <c r="W310"/>
  <c r="S310" s="1"/>
  <c r="T310" s="1"/>
  <c r="W313"/>
  <c r="S313" s="1"/>
  <c r="T313" s="1"/>
  <c r="W317"/>
  <c r="S317" s="1"/>
  <c r="T317" s="1"/>
  <c r="W320"/>
  <c r="S320" s="1"/>
  <c r="T320" s="1"/>
  <c r="X886" i="10"/>
  <c r="S886" s="1"/>
  <c r="T886" s="1"/>
  <c r="X887"/>
  <c r="S887" s="1"/>
  <c r="T887" s="1"/>
  <c r="X888"/>
  <c r="S888" s="1"/>
  <c r="T888" s="1"/>
  <c r="X889"/>
  <c r="S889" s="1"/>
  <c r="T889" s="1"/>
  <c r="S321" i="9"/>
  <c r="T321" s="1"/>
  <c r="S318"/>
  <c r="T318" s="1"/>
  <c r="T43" i="5"/>
  <c r="P43" s="1"/>
  <c r="Q43" s="1"/>
  <c r="T44"/>
  <c r="T45"/>
  <c r="P45" s="1"/>
  <c r="Q45" s="1"/>
  <c r="T46"/>
  <c r="P46" s="1"/>
  <c r="Q46" s="1"/>
  <c r="T47"/>
  <c r="P47" s="1"/>
  <c r="Q47" s="1"/>
  <c r="W292" i="9"/>
  <c r="S292" s="1"/>
  <c r="T292" s="1"/>
  <c r="W293"/>
  <c r="S293" s="1"/>
  <c r="T293" s="1"/>
  <c r="F18" i="15"/>
  <c r="F29" s="1"/>
  <c r="C21" i="14"/>
  <c r="F13"/>
  <c r="E19"/>
  <c r="F17"/>
  <c r="F18"/>
  <c r="H18" s="1"/>
  <c r="D19"/>
  <c r="D12"/>
  <c r="E12" s="1"/>
  <c r="P44" i="5"/>
  <c r="Q44" s="1"/>
  <c r="W253" i="9"/>
  <c r="W254"/>
  <c r="W255"/>
  <c r="W256"/>
  <c r="W257"/>
  <c r="W263"/>
  <c r="W277"/>
  <c r="S277" s="1"/>
  <c r="T277" s="1"/>
  <c r="W278"/>
  <c r="W279"/>
  <c r="S279" s="1"/>
  <c r="T279" s="1"/>
  <c r="W280"/>
  <c r="W284"/>
  <c r="S284" s="1"/>
  <c r="T284" s="1"/>
  <c r="W287"/>
  <c r="S253"/>
  <c r="S254"/>
  <c r="S255"/>
  <c r="S256"/>
  <c r="S257"/>
  <c r="W258"/>
  <c r="S258" s="1"/>
  <c r="W259"/>
  <c r="S259" s="1"/>
  <c r="W260"/>
  <c r="S260" s="1"/>
  <c r="W261"/>
  <c r="S261" s="1"/>
  <c r="W264"/>
  <c r="S264" s="1"/>
  <c r="T264" s="1"/>
  <c r="W265"/>
  <c r="S265" s="1"/>
  <c r="T265" s="1"/>
  <c r="W266"/>
  <c r="S266" s="1"/>
  <c r="T266" s="1"/>
  <c r="W267"/>
  <c r="S267" s="1"/>
  <c r="T267" s="1"/>
  <c r="W268"/>
  <c r="S268" s="1"/>
  <c r="T268" s="1"/>
  <c r="W269"/>
  <c r="S269" s="1"/>
  <c r="T269" s="1"/>
  <c r="W270"/>
  <c r="S270" s="1"/>
  <c r="T270" s="1"/>
  <c r="W271"/>
  <c r="S271" s="1"/>
  <c r="T271" s="1"/>
  <c r="W272"/>
  <c r="S272" s="1"/>
  <c r="T272" s="1"/>
  <c r="W273"/>
  <c r="S273" s="1"/>
  <c r="T273" s="1"/>
  <c r="W274"/>
  <c r="S274" s="1"/>
  <c r="T274" s="1"/>
  <c r="W275"/>
  <c r="S275" s="1"/>
  <c r="T275" s="1"/>
  <c r="W276"/>
  <c r="S276" s="1"/>
  <c r="T276" s="1"/>
  <c r="S280"/>
  <c r="T280" s="1"/>
  <c r="W281"/>
  <c r="S281" s="1"/>
  <c r="T281" s="1"/>
  <c r="W282"/>
  <c r="S282" s="1"/>
  <c r="T282" s="1"/>
  <c r="W286"/>
  <c r="S286" s="1"/>
  <c r="T286" s="1"/>
  <c r="W288"/>
  <c r="S288" s="1"/>
  <c r="T288" s="1"/>
  <c r="T37" i="5"/>
  <c r="P37" s="1"/>
  <c r="T38"/>
  <c r="P38" s="1"/>
  <c r="Q38" s="1"/>
  <c r="T39"/>
  <c r="P39" s="1"/>
  <c r="Q39" s="1"/>
  <c r="T40"/>
  <c r="P40" s="1"/>
  <c r="Q40" s="1"/>
  <c r="T41"/>
  <c r="P41" s="1"/>
  <c r="T42"/>
  <c r="P42" s="1"/>
  <c r="Q42" s="1"/>
  <c r="S287" i="9"/>
  <c r="T287" s="1"/>
  <c r="S278"/>
  <c r="T278" s="1"/>
  <c r="S263"/>
  <c r="T263" s="1"/>
  <c r="W252"/>
  <c r="S252" s="1"/>
  <c r="E26" i="12"/>
  <c r="E16"/>
  <c r="R14" i="1"/>
  <c r="N14"/>
  <c r="E24" i="12"/>
  <c r="B21"/>
  <c r="C18"/>
  <c r="B18"/>
  <c r="C13"/>
  <c r="B13"/>
  <c r="R846" i="10"/>
  <c r="R847"/>
  <c r="R848"/>
  <c r="R849"/>
  <c r="R850"/>
  <c r="R851"/>
  <c r="R852"/>
  <c r="R853"/>
  <c r="R854"/>
  <c r="R855"/>
  <c r="R856"/>
  <c r="R857"/>
  <c r="R858"/>
  <c r="R859"/>
  <c r="R860"/>
  <c r="R861"/>
  <c r="R862"/>
  <c r="R863"/>
  <c r="R864"/>
  <c r="R866"/>
  <c r="R867"/>
  <c r="R868"/>
  <c r="R869"/>
  <c r="R553"/>
  <c r="R554"/>
  <c r="R555"/>
  <c r="R556"/>
  <c r="R557"/>
  <c r="R558"/>
  <c r="R559"/>
  <c r="R560"/>
  <c r="R561"/>
  <c r="R562"/>
  <c r="R563"/>
  <c r="R564"/>
  <c r="R565"/>
  <c r="R566"/>
  <c r="R567"/>
  <c r="R568"/>
  <c r="R569"/>
  <c r="R570"/>
  <c r="R571"/>
  <c r="R572"/>
  <c r="R573"/>
  <c r="R574"/>
  <c r="R575"/>
  <c r="R576"/>
  <c r="R577"/>
  <c r="R578"/>
  <c r="R579"/>
  <c r="R580"/>
  <c r="R581"/>
  <c r="R582"/>
  <c r="R583"/>
  <c r="R584"/>
  <c r="R585"/>
  <c r="R586"/>
  <c r="R587"/>
  <c r="R588"/>
  <c r="R589"/>
  <c r="R590"/>
  <c r="R591"/>
  <c r="R592"/>
  <c r="R593"/>
  <c r="R594"/>
  <c r="R595"/>
  <c r="R596"/>
  <c r="R597"/>
  <c r="R598"/>
  <c r="R599"/>
  <c r="R600"/>
  <c r="R601"/>
  <c r="R602"/>
  <c r="R603"/>
  <c r="R604"/>
  <c r="R605"/>
  <c r="R606"/>
  <c r="R607"/>
  <c r="R608"/>
  <c r="R609"/>
  <c r="R610"/>
  <c r="R611"/>
  <c r="R612"/>
  <c r="R613"/>
  <c r="R614"/>
  <c r="R615"/>
  <c r="R616"/>
  <c r="R617"/>
  <c r="R618"/>
  <c r="R619"/>
  <c r="R620"/>
  <c r="R621"/>
  <c r="R622"/>
  <c r="R623"/>
  <c r="R624"/>
  <c r="R625"/>
  <c r="R626"/>
  <c r="R627"/>
  <c r="R628"/>
  <c r="R629"/>
  <c r="R630"/>
  <c r="R631"/>
  <c r="R632"/>
  <c r="R633"/>
  <c r="R634"/>
  <c r="R635"/>
  <c r="R636"/>
  <c r="R637"/>
  <c r="R638"/>
  <c r="R639"/>
  <c r="R640"/>
  <c r="R641"/>
  <c r="R642"/>
  <c r="R643"/>
  <c r="R644"/>
  <c r="R645"/>
  <c r="R646"/>
  <c r="R647"/>
  <c r="R648"/>
  <c r="R649"/>
  <c r="R650"/>
  <c r="R651"/>
  <c r="R652"/>
  <c r="R653"/>
  <c r="R654"/>
  <c r="R655"/>
  <c r="R656"/>
  <c r="R657"/>
  <c r="R658"/>
  <c r="R659"/>
  <c r="R660"/>
  <c r="R661"/>
  <c r="R662"/>
  <c r="R663"/>
  <c r="R664"/>
  <c r="R665"/>
  <c r="R666"/>
  <c r="R667"/>
  <c r="R668"/>
  <c r="R669"/>
  <c r="R670"/>
  <c r="R671"/>
  <c r="R672"/>
  <c r="R673"/>
  <c r="R674"/>
  <c r="R675"/>
  <c r="R676"/>
  <c r="R677"/>
  <c r="R678"/>
  <c r="R679"/>
  <c r="R680"/>
  <c r="R681"/>
  <c r="R682"/>
  <c r="R683"/>
  <c r="R684"/>
  <c r="R685"/>
  <c r="R686"/>
  <c r="R687"/>
  <c r="R688"/>
  <c r="R689"/>
  <c r="R690"/>
  <c r="R691"/>
  <c r="R692"/>
  <c r="R693"/>
  <c r="R694"/>
  <c r="R695"/>
  <c r="R696"/>
  <c r="R697"/>
  <c r="R698"/>
  <c r="R699"/>
  <c r="R700"/>
  <c r="R701"/>
  <c r="R702"/>
  <c r="R703"/>
  <c r="R704"/>
  <c r="R705"/>
  <c r="R706"/>
  <c r="R707"/>
  <c r="R708"/>
  <c r="R709"/>
  <c r="R710"/>
  <c r="R711"/>
  <c r="R712"/>
  <c r="R713"/>
  <c r="R714"/>
  <c r="R715"/>
  <c r="R716"/>
  <c r="R717"/>
  <c r="R718"/>
  <c r="R719"/>
  <c r="R720"/>
  <c r="R721"/>
  <c r="R722"/>
  <c r="R723"/>
  <c r="R724"/>
  <c r="R725"/>
  <c r="R726"/>
  <c r="R727"/>
  <c r="R728"/>
  <c r="R729"/>
  <c r="R730"/>
  <c r="R731"/>
  <c r="R732"/>
  <c r="R733"/>
  <c r="R734"/>
  <c r="R735"/>
  <c r="R736"/>
  <c r="R737"/>
  <c r="R738"/>
  <c r="R739"/>
  <c r="R740"/>
  <c r="R741"/>
  <c r="R742"/>
  <c r="R743"/>
  <c r="R744"/>
  <c r="R745"/>
  <c r="R746"/>
  <c r="R747"/>
  <c r="R748"/>
  <c r="R749"/>
  <c r="R750"/>
  <c r="R751"/>
  <c r="R752"/>
  <c r="R753"/>
  <c r="R754"/>
  <c r="R755"/>
  <c r="R756"/>
  <c r="R757"/>
  <c r="R758"/>
  <c r="R759"/>
  <c r="R760"/>
  <c r="R761"/>
  <c r="R762"/>
  <c r="R763"/>
  <c r="R764"/>
  <c r="R765"/>
  <c r="R766"/>
  <c r="R767"/>
  <c r="R768"/>
  <c r="R769"/>
  <c r="R770"/>
  <c r="R771"/>
  <c r="R772"/>
  <c r="R773"/>
  <c r="R774"/>
  <c r="R775"/>
  <c r="R776"/>
  <c r="R777"/>
  <c r="R778"/>
  <c r="R779"/>
  <c r="R780"/>
  <c r="R781"/>
  <c r="R782"/>
  <c r="R783"/>
  <c r="R784"/>
  <c r="R785"/>
  <c r="R786"/>
  <c r="R787"/>
  <c r="R788"/>
  <c r="R789"/>
  <c r="R790"/>
  <c r="R791"/>
  <c r="R792"/>
  <c r="R793"/>
  <c r="R794"/>
  <c r="R795"/>
  <c r="R796"/>
  <c r="R797"/>
  <c r="R798"/>
  <c r="R799"/>
  <c r="R800"/>
  <c r="R801"/>
  <c r="S801" s="1"/>
  <c r="T801" s="1"/>
  <c r="R802"/>
  <c r="R803"/>
  <c r="R804"/>
  <c r="R805"/>
  <c r="R806"/>
  <c r="R807"/>
  <c r="R808"/>
  <c r="R809"/>
  <c r="R810"/>
  <c r="R811"/>
  <c r="R812"/>
  <c r="R813"/>
  <c r="R814"/>
  <c r="R815"/>
  <c r="R816"/>
  <c r="R817"/>
  <c r="R818"/>
  <c r="R819"/>
  <c r="R820"/>
  <c r="R821"/>
  <c r="R822"/>
  <c r="R823"/>
  <c r="R824"/>
  <c r="R825"/>
  <c r="R826"/>
  <c r="R827"/>
  <c r="R828"/>
  <c r="R829"/>
  <c r="R830"/>
  <c r="R831"/>
  <c r="R832"/>
  <c r="R833"/>
  <c r="R834"/>
  <c r="R835"/>
  <c r="R836"/>
  <c r="R837"/>
  <c r="R838"/>
  <c r="R839"/>
  <c r="R840"/>
  <c r="R841"/>
  <c r="R842"/>
  <c r="R843"/>
  <c r="R844"/>
  <c r="R845"/>
  <c r="R326"/>
  <c r="R327"/>
  <c r="R328"/>
  <c r="R329"/>
  <c r="R330"/>
  <c r="R331"/>
  <c r="R332"/>
  <c r="R333"/>
  <c r="R334"/>
  <c r="R335"/>
  <c r="R336"/>
  <c r="R337"/>
  <c r="R338"/>
  <c r="R339"/>
  <c r="R340"/>
  <c r="R341"/>
  <c r="R342"/>
  <c r="R343"/>
  <c r="R344"/>
  <c r="R345"/>
  <c r="R346"/>
  <c r="R347"/>
  <c r="R348"/>
  <c r="R349"/>
  <c r="R350"/>
  <c r="R351"/>
  <c r="R352"/>
  <c r="R353"/>
  <c r="R354"/>
  <c r="R355"/>
  <c r="R356"/>
  <c r="R357"/>
  <c r="R358"/>
  <c r="R359"/>
  <c r="R360"/>
  <c r="R361"/>
  <c r="R362"/>
  <c r="R363"/>
  <c r="R364"/>
  <c r="R365"/>
  <c r="R366"/>
  <c r="R367"/>
  <c r="R368"/>
  <c r="R369"/>
  <c r="R370"/>
  <c r="R371"/>
  <c r="R372"/>
  <c r="R373"/>
  <c r="R374"/>
  <c r="R375"/>
  <c r="R376"/>
  <c r="R377"/>
  <c r="R378"/>
  <c r="R379"/>
  <c r="R380"/>
  <c r="R381"/>
  <c r="R382"/>
  <c r="R383"/>
  <c r="R384"/>
  <c r="R385"/>
  <c r="R386"/>
  <c r="R387"/>
  <c r="R388"/>
  <c r="R389"/>
  <c r="R390"/>
  <c r="R391"/>
  <c r="R392"/>
  <c r="R393"/>
  <c r="R394"/>
  <c r="R395"/>
  <c r="R396"/>
  <c r="R397"/>
  <c r="R398"/>
  <c r="R399"/>
  <c r="R400"/>
  <c r="R401"/>
  <c r="R402"/>
  <c r="R403"/>
  <c r="R404"/>
  <c r="R405"/>
  <c r="R406"/>
  <c r="R407"/>
  <c r="R408"/>
  <c r="R409"/>
  <c r="R410"/>
  <c r="R411"/>
  <c r="R412"/>
  <c r="R413"/>
  <c r="R414"/>
  <c r="R415"/>
  <c r="R416"/>
  <c r="R417"/>
  <c r="R418"/>
  <c r="R419"/>
  <c r="R420"/>
  <c r="R421"/>
  <c r="R422"/>
  <c r="R423"/>
  <c r="R424"/>
  <c r="R425"/>
  <c r="R426"/>
  <c r="R427"/>
  <c r="R428"/>
  <c r="R429"/>
  <c r="R430"/>
  <c r="R431"/>
  <c r="R432"/>
  <c r="R433"/>
  <c r="R434"/>
  <c r="R435"/>
  <c r="R436"/>
  <c r="R437"/>
  <c r="R438"/>
  <c r="R439"/>
  <c r="R440"/>
  <c r="R441"/>
  <c r="R442"/>
  <c r="R443"/>
  <c r="R444"/>
  <c r="R445"/>
  <c r="R446"/>
  <c r="R447"/>
  <c r="R448"/>
  <c r="R449"/>
  <c r="R450"/>
  <c r="R451"/>
  <c r="R452"/>
  <c r="R453"/>
  <c r="R454"/>
  <c r="R455"/>
  <c r="R456"/>
  <c r="R457"/>
  <c r="R458"/>
  <c r="R459"/>
  <c r="R460"/>
  <c r="R461"/>
  <c r="R462"/>
  <c r="R463"/>
  <c r="R464"/>
  <c r="R465"/>
  <c r="R466"/>
  <c r="R467"/>
  <c r="R468"/>
  <c r="R469"/>
  <c r="R470"/>
  <c r="R471"/>
  <c r="R472"/>
  <c r="R473"/>
  <c r="R474"/>
  <c r="R475"/>
  <c r="R476"/>
  <c r="R477"/>
  <c r="R478"/>
  <c r="R479"/>
  <c r="R480"/>
  <c r="R481"/>
  <c r="R482"/>
  <c r="R483"/>
  <c r="R484"/>
  <c r="R485"/>
  <c r="R486"/>
  <c r="R487"/>
  <c r="R488"/>
  <c r="R489"/>
  <c r="R490"/>
  <c r="R491"/>
  <c r="R492"/>
  <c r="R493"/>
  <c r="R494"/>
  <c r="R495"/>
  <c r="R496"/>
  <c r="R497"/>
  <c r="R498"/>
  <c r="R499"/>
  <c r="R500"/>
  <c r="R501"/>
  <c r="R502"/>
  <c r="R503"/>
  <c r="R504"/>
  <c r="R505"/>
  <c r="R506"/>
  <c r="R507"/>
  <c r="R508"/>
  <c r="R509"/>
  <c r="R510"/>
  <c r="R511"/>
  <c r="R512"/>
  <c r="R513"/>
  <c r="R514"/>
  <c r="R515"/>
  <c r="R516"/>
  <c r="R517"/>
  <c r="R518"/>
  <c r="R519"/>
  <c r="R520"/>
  <c r="R521"/>
  <c r="R522"/>
  <c r="R523"/>
  <c r="R524"/>
  <c r="R525"/>
  <c r="R526"/>
  <c r="R527"/>
  <c r="R528"/>
  <c r="R529"/>
  <c r="R530"/>
  <c r="R531"/>
  <c r="R532"/>
  <c r="R533"/>
  <c r="R534"/>
  <c r="R535"/>
  <c r="R536"/>
  <c r="R537"/>
  <c r="R538"/>
  <c r="R539"/>
  <c r="R540"/>
  <c r="R541"/>
  <c r="R542"/>
  <c r="R543"/>
  <c r="R544"/>
  <c r="R545"/>
  <c r="R546"/>
  <c r="R547"/>
  <c r="R548"/>
  <c r="R549"/>
  <c r="R550"/>
  <c r="R551"/>
  <c r="R552"/>
  <c r="R313"/>
  <c r="R314"/>
  <c r="R315"/>
  <c r="R316"/>
  <c r="R317"/>
  <c r="R318"/>
  <c r="R319"/>
  <c r="R320"/>
  <c r="R321"/>
  <c r="R322"/>
  <c r="R323"/>
  <c r="R324"/>
  <c r="R325"/>
  <c r="R307"/>
  <c r="R308"/>
  <c r="R309"/>
  <c r="R310"/>
  <c r="R311"/>
  <c r="R312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178"/>
  <c r="R179"/>
  <c r="R180"/>
  <c r="R181"/>
  <c r="R182"/>
  <c r="R183"/>
  <c r="R184"/>
  <c r="R185"/>
  <c r="R186"/>
  <c r="R187"/>
  <c r="R188"/>
  <c r="R189"/>
  <c r="R190"/>
  <c r="R191"/>
  <c r="R192"/>
  <c r="R193"/>
  <c r="R194"/>
  <c r="R195"/>
  <c r="R196"/>
  <c r="R197"/>
  <c r="R198"/>
  <c r="R199"/>
  <c r="R200"/>
  <c r="R201"/>
  <c r="R202"/>
  <c r="R203"/>
  <c r="R204"/>
  <c r="R205"/>
  <c r="R206"/>
  <c r="R207"/>
  <c r="R208"/>
  <c r="R209"/>
  <c r="R210"/>
  <c r="R211"/>
  <c r="R212"/>
  <c r="R213"/>
  <c r="R214"/>
  <c r="R215"/>
  <c r="R216"/>
  <c r="R217"/>
  <c r="R218"/>
  <c r="R219"/>
  <c r="R220"/>
  <c r="R221"/>
  <c r="R222"/>
  <c r="R223"/>
  <c r="R224"/>
  <c r="R225"/>
  <c r="R226"/>
  <c r="R227"/>
  <c r="R228"/>
  <c r="R229"/>
  <c r="R230"/>
  <c r="R231"/>
  <c r="R233"/>
  <c r="R234"/>
  <c r="R235"/>
  <c r="R236"/>
  <c r="R237"/>
  <c r="R238"/>
  <c r="R239"/>
  <c r="R240"/>
  <c r="R241"/>
  <c r="R242"/>
  <c r="R243"/>
  <c r="R244"/>
  <c r="R245"/>
  <c r="R246"/>
  <c r="R247"/>
  <c r="R248"/>
  <c r="R249"/>
  <c r="R250"/>
  <c r="R251"/>
  <c r="R252"/>
  <c r="R253"/>
  <c r="R254"/>
  <c r="R255"/>
  <c r="R256"/>
  <c r="R257"/>
  <c r="R258"/>
  <c r="R259"/>
  <c r="R260"/>
  <c r="R261"/>
  <c r="R262"/>
  <c r="R263"/>
  <c r="R264"/>
  <c r="R265"/>
  <c r="R266"/>
  <c r="R267"/>
  <c r="R268"/>
  <c r="R269"/>
  <c r="R270"/>
  <c r="R271"/>
  <c r="R272"/>
  <c r="R273"/>
  <c r="R274"/>
  <c r="R275"/>
  <c r="R276"/>
  <c r="R277"/>
  <c r="R278"/>
  <c r="R279"/>
  <c r="R280"/>
  <c r="R281"/>
  <c r="R282"/>
  <c r="R283"/>
  <c r="R284"/>
  <c r="R285"/>
  <c r="R286"/>
  <c r="R287"/>
  <c r="R288"/>
  <c r="R289"/>
  <c r="R290"/>
  <c r="R291"/>
  <c r="R292"/>
  <c r="R293"/>
  <c r="R294"/>
  <c r="R295"/>
  <c r="R296"/>
  <c r="R297"/>
  <c r="R298"/>
  <c r="R299"/>
  <c r="R300"/>
  <c r="R301"/>
  <c r="R302"/>
  <c r="R303"/>
  <c r="R304"/>
  <c r="R305"/>
  <c r="R306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8"/>
  <c r="R9"/>
  <c r="R10"/>
  <c r="R7"/>
  <c r="Q41" i="4"/>
  <c r="Q42"/>
  <c r="Q40"/>
  <c r="Q34"/>
  <c r="Q35"/>
  <c r="Q33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7"/>
  <c r="Q8"/>
  <c r="Q9"/>
  <c r="Q10"/>
  <c r="C7" i="3"/>
  <c r="R7" s="1"/>
  <c r="O7" s="1"/>
  <c r="D18" i="12" s="1"/>
  <c r="X8" i="2"/>
  <c r="R8" s="1"/>
  <c r="S8" s="1"/>
  <c r="E13" i="12" s="1"/>
  <c r="Q8" i="2"/>
  <c r="G8"/>
  <c r="O29" i="5"/>
  <c r="O31" s="1"/>
  <c r="O25"/>
  <c r="O8"/>
  <c r="F29"/>
  <c r="T29" s="1"/>
  <c r="F9"/>
  <c r="T9" s="1"/>
  <c r="F10"/>
  <c r="T10" s="1"/>
  <c r="F11"/>
  <c r="T11" s="1"/>
  <c r="F12"/>
  <c r="T12" s="1"/>
  <c r="F13"/>
  <c r="T13" s="1"/>
  <c r="F14"/>
  <c r="T14" s="1"/>
  <c r="F15"/>
  <c r="T15" s="1"/>
  <c r="F16"/>
  <c r="T16" s="1"/>
  <c r="F17"/>
  <c r="T17" s="1"/>
  <c r="F18"/>
  <c r="T18" s="1"/>
  <c r="F19"/>
  <c r="T19" s="1"/>
  <c r="F20"/>
  <c r="T20" s="1"/>
  <c r="F21"/>
  <c r="T21" s="1"/>
  <c r="F22"/>
  <c r="T22" s="1"/>
  <c r="T23"/>
  <c r="F24"/>
  <c r="T24" s="1"/>
  <c r="F25"/>
  <c r="T25" s="1"/>
  <c r="F8"/>
  <c r="T8" s="1"/>
  <c r="P8" s="1"/>
  <c r="P55" i="7"/>
  <c r="P56"/>
  <c r="P57"/>
  <c r="P58"/>
  <c r="P59"/>
  <c r="P54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8"/>
  <c r="G9"/>
  <c r="U9" s="1"/>
  <c r="G10"/>
  <c r="U10" s="1"/>
  <c r="G11"/>
  <c r="U11" s="1"/>
  <c r="G12"/>
  <c r="U12" s="1"/>
  <c r="G13"/>
  <c r="U13" s="1"/>
  <c r="G14"/>
  <c r="U14" s="1"/>
  <c r="G15"/>
  <c r="U15" s="1"/>
  <c r="G16"/>
  <c r="U16" s="1"/>
  <c r="G17"/>
  <c r="U17" s="1"/>
  <c r="G18"/>
  <c r="U18" s="1"/>
  <c r="G19"/>
  <c r="U19" s="1"/>
  <c r="G20"/>
  <c r="U20" s="1"/>
  <c r="G21"/>
  <c r="U21" s="1"/>
  <c r="G22"/>
  <c r="U22" s="1"/>
  <c r="G23"/>
  <c r="U23" s="1"/>
  <c r="G24"/>
  <c r="U24" s="1"/>
  <c r="G25"/>
  <c r="U25" s="1"/>
  <c r="G26"/>
  <c r="U26" s="1"/>
  <c r="G8"/>
  <c r="U8" s="1"/>
  <c r="G32"/>
  <c r="U32" s="1"/>
  <c r="G33"/>
  <c r="U33" s="1"/>
  <c r="G34"/>
  <c r="U34" s="1"/>
  <c r="G35"/>
  <c r="U35" s="1"/>
  <c r="G36"/>
  <c r="U36" s="1"/>
  <c r="G37"/>
  <c r="U37" s="1"/>
  <c r="G38"/>
  <c r="U38" s="1"/>
  <c r="G39"/>
  <c r="U39" s="1"/>
  <c r="G40"/>
  <c r="U40" s="1"/>
  <c r="G41"/>
  <c r="U41" s="1"/>
  <c r="G42"/>
  <c r="U42" s="1"/>
  <c r="G43"/>
  <c r="U43" s="1"/>
  <c r="G44"/>
  <c r="U44" s="1"/>
  <c r="G45"/>
  <c r="U45" s="1"/>
  <c r="G46"/>
  <c r="U46" s="1"/>
  <c r="G47"/>
  <c r="U47" s="1"/>
  <c r="G48"/>
  <c r="U48" s="1"/>
  <c r="G49"/>
  <c r="U49" s="1"/>
  <c r="G50"/>
  <c r="U50" s="1"/>
  <c r="G51"/>
  <c r="U51" s="1"/>
  <c r="G54"/>
  <c r="U54" s="1"/>
  <c r="G55"/>
  <c r="U55" s="1"/>
  <c r="G56"/>
  <c r="U56" s="1"/>
  <c r="G57"/>
  <c r="U57" s="1"/>
  <c r="G58"/>
  <c r="U58" s="1"/>
  <c r="G59"/>
  <c r="U59" s="1"/>
  <c r="G62"/>
  <c r="U62" s="1"/>
  <c r="G63"/>
  <c r="U63" s="1"/>
  <c r="G64"/>
  <c r="U64" s="1"/>
  <c r="G27"/>
  <c r="U27" s="1"/>
  <c r="G28"/>
  <c r="U28" s="1"/>
  <c r="G29"/>
  <c r="U29" s="1"/>
  <c r="G30"/>
  <c r="U30" s="1"/>
  <c r="G31"/>
  <c r="U31" s="1"/>
  <c r="W7" i="9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W106"/>
  <c r="W107"/>
  <c r="W108"/>
  <c r="W109"/>
  <c r="W232"/>
  <c r="W233"/>
  <c r="W234"/>
  <c r="W235"/>
  <c r="W236"/>
  <c r="W237"/>
  <c r="W238"/>
  <c r="W239"/>
  <c r="W240"/>
  <c r="W241"/>
  <c r="W242"/>
  <c r="W243"/>
  <c r="W244"/>
  <c r="W245"/>
  <c r="W246"/>
  <c r="W247"/>
  <c r="P75" i="5" l="1"/>
  <c r="Q74"/>
  <c r="Q75" s="1"/>
  <c r="S800" i="10"/>
  <c r="Q61" i="5"/>
  <c r="Q70" s="1"/>
  <c r="P70"/>
  <c r="E15" i="15"/>
  <c r="E31" s="1"/>
  <c r="Q50" i="5"/>
  <c r="Q58" s="1"/>
  <c r="P58"/>
  <c r="Q41"/>
  <c r="T337" i="9"/>
  <c r="T343" s="1"/>
  <c r="S343"/>
  <c r="T327"/>
  <c r="T335" s="1"/>
  <c r="S335"/>
  <c r="T998" i="10"/>
  <c r="T1000" s="1"/>
  <c r="S1000"/>
  <c r="T995"/>
  <c r="T996" s="1"/>
  <c r="T1027" s="1"/>
  <c r="S996"/>
  <c r="S1027" s="1"/>
  <c r="S324" i="9"/>
  <c r="S986" i="10"/>
  <c r="T949"/>
  <c r="R69" i="7"/>
  <c r="R91" s="1"/>
  <c r="Q91"/>
  <c r="T893" i="10"/>
  <c r="T294" i="9"/>
  <c r="T298"/>
  <c r="T324" s="1"/>
  <c r="S294"/>
  <c r="T891" i="10"/>
  <c r="S891"/>
  <c r="Q37" i="5"/>
  <c r="P48"/>
  <c r="Q48"/>
  <c r="B8" i="12"/>
  <c r="C8"/>
  <c r="F12" i="15"/>
  <c r="F15" s="1"/>
  <c r="H18"/>
  <c r="H29" s="1"/>
  <c r="H17" i="14"/>
  <c r="H19" s="1"/>
  <c r="F19"/>
  <c r="D14"/>
  <c r="D21" s="1"/>
  <c r="E14"/>
  <c r="E21" s="1"/>
  <c r="Q8" i="5"/>
  <c r="T800" i="10"/>
  <c r="D13" i="12"/>
  <c r="P29" i="5"/>
  <c r="P25"/>
  <c r="Q25" s="1"/>
  <c r="Q8" i="7"/>
  <c r="R8" s="1"/>
  <c r="Q51"/>
  <c r="R51" s="1"/>
  <c r="Q49"/>
  <c r="R49" s="1"/>
  <c r="Q47"/>
  <c r="R47" s="1"/>
  <c r="Q45"/>
  <c r="R45" s="1"/>
  <c r="Q43"/>
  <c r="R43" s="1"/>
  <c r="Q41"/>
  <c r="R41" s="1"/>
  <c r="Q39"/>
  <c r="R39" s="1"/>
  <c r="Q37"/>
  <c r="R37" s="1"/>
  <c r="Q35"/>
  <c r="R35" s="1"/>
  <c r="Q33"/>
  <c r="R33" s="1"/>
  <c r="Q31"/>
  <c r="R31" s="1"/>
  <c r="Q29"/>
  <c r="R29" s="1"/>
  <c r="Q27"/>
  <c r="R27" s="1"/>
  <c r="Q25"/>
  <c r="R25" s="1"/>
  <c r="Q23"/>
  <c r="R23" s="1"/>
  <c r="Q21"/>
  <c r="R21" s="1"/>
  <c r="Q19"/>
  <c r="R19" s="1"/>
  <c r="Q17"/>
  <c r="R17" s="1"/>
  <c r="Q15"/>
  <c r="R15" s="1"/>
  <c r="Q13"/>
  <c r="R13" s="1"/>
  <c r="Q11"/>
  <c r="R11" s="1"/>
  <c r="Q9"/>
  <c r="R9" s="1"/>
  <c r="Q59"/>
  <c r="R59" s="1"/>
  <c r="Q57"/>
  <c r="R57" s="1"/>
  <c r="Q55"/>
  <c r="R55" s="1"/>
  <c r="Q50"/>
  <c r="R50" s="1"/>
  <c r="Q48"/>
  <c r="R48" s="1"/>
  <c r="Q46"/>
  <c r="R46" s="1"/>
  <c r="Q44"/>
  <c r="R44" s="1"/>
  <c r="Q42"/>
  <c r="R42" s="1"/>
  <c r="Q40"/>
  <c r="R40" s="1"/>
  <c r="Q38"/>
  <c r="R38" s="1"/>
  <c r="Q36"/>
  <c r="R36" s="1"/>
  <c r="Q34"/>
  <c r="R34" s="1"/>
  <c r="Q32"/>
  <c r="R32" s="1"/>
  <c r="Q30"/>
  <c r="R30" s="1"/>
  <c r="Q28"/>
  <c r="R28" s="1"/>
  <c r="Q26"/>
  <c r="R26" s="1"/>
  <c r="Q24"/>
  <c r="R24" s="1"/>
  <c r="Q22"/>
  <c r="R22" s="1"/>
  <c r="Q20"/>
  <c r="R20" s="1"/>
  <c r="Q18"/>
  <c r="R18" s="1"/>
  <c r="Q16"/>
  <c r="R16" s="1"/>
  <c r="Q14"/>
  <c r="R14" s="1"/>
  <c r="Q12"/>
  <c r="R12" s="1"/>
  <c r="Q10"/>
  <c r="R10" s="1"/>
  <c r="Q54"/>
  <c r="R54" s="1"/>
  <c r="Q58"/>
  <c r="R58" s="1"/>
  <c r="Q56"/>
  <c r="R56" s="1"/>
  <c r="R12" i="1"/>
  <c r="R11"/>
  <c r="R10"/>
  <c r="R9"/>
  <c r="R8"/>
  <c r="G8"/>
  <c r="S8" s="1"/>
  <c r="G9"/>
  <c r="V9" s="1"/>
  <c r="S9" s="1"/>
  <c r="T9" s="1"/>
  <c r="G10"/>
  <c r="V10" s="1"/>
  <c r="S10" s="1"/>
  <c r="T10" s="1"/>
  <c r="G11"/>
  <c r="V11" s="1"/>
  <c r="S11" s="1"/>
  <c r="G12"/>
  <c r="V12" s="1"/>
  <c r="G7"/>
  <c r="V7" s="1"/>
  <c r="U18" i="4"/>
  <c r="R18" s="1"/>
  <c r="U23"/>
  <c r="R23" s="1"/>
  <c r="G7"/>
  <c r="U7" s="1"/>
  <c r="R7" s="1"/>
  <c r="G8"/>
  <c r="U8" s="1"/>
  <c r="G9"/>
  <c r="U9" s="1"/>
  <c r="R9" s="1"/>
  <c r="G10"/>
  <c r="U10" s="1"/>
  <c r="R10" s="1"/>
  <c r="G11"/>
  <c r="U11" s="1"/>
  <c r="G12"/>
  <c r="U12" s="1"/>
  <c r="G13"/>
  <c r="U13" s="1"/>
  <c r="G14"/>
  <c r="U14" s="1"/>
  <c r="G15"/>
  <c r="U15" s="1"/>
  <c r="R15" s="1"/>
  <c r="G16"/>
  <c r="U16" s="1"/>
  <c r="G17"/>
  <c r="U17" s="1"/>
  <c r="G20"/>
  <c r="U20" s="1"/>
  <c r="G21"/>
  <c r="U21" s="1"/>
  <c r="G22"/>
  <c r="U22" s="1"/>
  <c r="G24"/>
  <c r="U24" s="1"/>
  <c r="G25"/>
  <c r="U25" s="1"/>
  <c r="G26"/>
  <c r="U26" s="1"/>
  <c r="G27"/>
  <c r="U27" s="1"/>
  <c r="G28"/>
  <c r="U28" s="1"/>
  <c r="G29"/>
  <c r="U29" s="1"/>
  <c r="R29" s="1"/>
  <c r="G30"/>
  <c r="U30" s="1"/>
  <c r="G33"/>
  <c r="U33" s="1"/>
  <c r="G34"/>
  <c r="U34" s="1"/>
  <c r="G35"/>
  <c r="U35" s="1"/>
  <c r="G40"/>
  <c r="U40" s="1"/>
  <c r="G41"/>
  <c r="U41" s="1"/>
  <c r="G42"/>
  <c r="U42" s="1"/>
  <c r="G19"/>
  <c r="U19" s="1"/>
  <c r="U250"/>
  <c r="U249"/>
  <c r="U248"/>
  <c r="U247"/>
  <c r="U246"/>
  <c r="U245"/>
  <c r="U244"/>
  <c r="U243"/>
  <c r="U242"/>
  <c r="U241"/>
  <c r="U240"/>
  <c r="U239"/>
  <c r="U238"/>
  <c r="U237"/>
  <c r="U236"/>
  <c r="U235"/>
  <c r="X875" i="10"/>
  <c r="X874"/>
  <c r="R874"/>
  <c r="T11" i="1" l="1"/>
  <c r="T986" i="10"/>
  <c r="S12" i="1"/>
  <c r="S14" s="1"/>
  <c r="F12" i="14"/>
  <c r="Q29" i="5"/>
  <c r="Q31" s="1"/>
  <c r="P31"/>
  <c r="S874" i="10"/>
  <c r="T8" i="1"/>
  <c r="R24" i="4"/>
  <c r="S24" s="1"/>
  <c r="R875" i="10"/>
  <c r="R876" s="1"/>
  <c r="H60" i="11"/>
  <c r="G7" i="10"/>
  <c r="X7" s="1"/>
  <c r="G8"/>
  <c r="X8" s="1"/>
  <c r="G9"/>
  <c r="X9" s="1"/>
  <c r="S9" s="1"/>
  <c r="G10"/>
  <c r="X10" s="1"/>
  <c r="G11"/>
  <c r="X11" s="1"/>
  <c r="G12"/>
  <c r="X12" s="1"/>
  <c r="G13"/>
  <c r="X13" s="1"/>
  <c r="G14"/>
  <c r="X14" s="1"/>
  <c r="G15"/>
  <c r="X15" s="1"/>
  <c r="G16"/>
  <c r="X16" s="1"/>
  <c r="G17"/>
  <c r="X17" s="1"/>
  <c r="G18"/>
  <c r="X18" s="1"/>
  <c r="G19"/>
  <c r="X19" s="1"/>
  <c r="T19"/>
  <c r="G20"/>
  <c r="X20" s="1"/>
  <c r="T20"/>
  <c r="G21"/>
  <c r="X21" s="1"/>
  <c r="G22"/>
  <c r="X22" s="1"/>
  <c r="G23"/>
  <c r="X23" s="1"/>
  <c r="B24"/>
  <c r="G24"/>
  <c r="X24" s="1"/>
  <c r="G25"/>
  <c r="X25" s="1"/>
  <c r="G26"/>
  <c r="X26" s="1"/>
  <c r="T26"/>
  <c r="G27"/>
  <c r="X27" s="1"/>
  <c r="F28"/>
  <c r="G28"/>
  <c r="X28" s="1"/>
  <c r="S28" s="1"/>
  <c r="G29"/>
  <c r="X29" s="1"/>
  <c r="G30"/>
  <c r="X30" s="1"/>
  <c r="S30" s="1"/>
  <c r="G31"/>
  <c r="X31" s="1"/>
  <c r="G32"/>
  <c r="X32" s="1"/>
  <c r="S32" s="1"/>
  <c r="G33"/>
  <c r="X33" s="1"/>
  <c r="B34"/>
  <c r="G34"/>
  <c r="X34" s="1"/>
  <c r="G35"/>
  <c r="X35" s="1"/>
  <c r="T35"/>
  <c r="G36"/>
  <c r="X36" s="1"/>
  <c r="G37"/>
  <c r="X37" s="1"/>
  <c r="G38"/>
  <c r="X38" s="1"/>
  <c r="G39"/>
  <c r="X39" s="1"/>
  <c r="T39"/>
  <c r="G40"/>
  <c r="X40" s="1"/>
  <c r="G41"/>
  <c r="X41" s="1"/>
  <c r="T41"/>
  <c r="G42"/>
  <c r="X42" s="1"/>
  <c r="G43"/>
  <c r="X43" s="1"/>
  <c r="G44"/>
  <c r="X44" s="1"/>
  <c r="G45"/>
  <c r="X45" s="1"/>
  <c r="S45" s="1"/>
  <c r="G46"/>
  <c r="X46" s="1"/>
  <c r="S46" s="1"/>
  <c r="G47"/>
  <c r="X47" s="1"/>
  <c r="G48"/>
  <c r="X48" s="1"/>
  <c r="T48"/>
  <c r="G49"/>
  <c r="X49" s="1"/>
  <c r="T49"/>
  <c r="G50"/>
  <c r="X50" s="1"/>
  <c r="G51"/>
  <c r="X51" s="1"/>
  <c r="G52"/>
  <c r="X52" s="1"/>
  <c r="G53"/>
  <c r="X53" s="1"/>
  <c r="G54"/>
  <c r="X54" s="1"/>
  <c r="G55"/>
  <c r="X55" s="1"/>
  <c r="G56"/>
  <c r="X56" s="1"/>
  <c r="G57"/>
  <c r="X57" s="1"/>
  <c r="B58"/>
  <c r="G58"/>
  <c r="X58" s="1"/>
  <c r="G59"/>
  <c r="X59" s="1"/>
  <c r="G60"/>
  <c r="T60"/>
  <c r="X60"/>
  <c r="G61"/>
  <c r="X61" s="1"/>
  <c r="G62"/>
  <c r="X62" s="1"/>
  <c r="G63"/>
  <c r="X63" s="1"/>
  <c r="G64"/>
  <c r="X64" s="1"/>
  <c r="T64"/>
  <c r="G65"/>
  <c r="X65" s="1"/>
  <c r="T65"/>
  <c r="G66"/>
  <c r="X66" s="1"/>
  <c r="T66"/>
  <c r="G67"/>
  <c r="X67" s="1"/>
  <c r="G68"/>
  <c r="X68" s="1"/>
  <c r="G69"/>
  <c r="X69" s="1"/>
  <c r="G70"/>
  <c r="X70" s="1"/>
  <c r="G71"/>
  <c r="X71" s="1"/>
  <c r="G72"/>
  <c r="X72" s="1"/>
  <c r="G73"/>
  <c r="X73" s="1"/>
  <c r="G74"/>
  <c r="X74" s="1"/>
  <c r="G75"/>
  <c r="X75" s="1"/>
  <c r="G76"/>
  <c r="X76" s="1"/>
  <c r="T76"/>
  <c r="G77"/>
  <c r="X77" s="1"/>
  <c r="T77"/>
  <c r="G78"/>
  <c r="X78" s="1"/>
  <c r="T78"/>
  <c r="G79"/>
  <c r="X79" s="1"/>
  <c r="T79"/>
  <c r="D80"/>
  <c r="G80"/>
  <c r="X80" s="1"/>
  <c r="G81"/>
  <c r="X81" s="1"/>
  <c r="T81"/>
  <c r="G82"/>
  <c r="X82" s="1"/>
  <c r="B83"/>
  <c r="D83"/>
  <c r="G83"/>
  <c r="X83" s="1"/>
  <c r="G84"/>
  <c r="X84" s="1"/>
  <c r="G85"/>
  <c r="X85" s="1"/>
  <c r="G86"/>
  <c r="X86" s="1"/>
  <c r="T86"/>
  <c r="G87"/>
  <c r="X87" s="1"/>
  <c r="G88"/>
  <c r="X88" s="1"/>
  <c r="G89"/>
  <c r="X89" s="1"/>
  <c r="G90"/>
  <c r="X90" s="1"/>
  <c r="G91"/>
  <c r="X91" s="1"/>
  <c r="G92"/>
  <c r="X92" s="1"/>
  <c r="G93"/>
  <c r="X93" s="1"/>
  <c r="G94"/>
  <c r="X94" s="1"/>
  <c r="G95"/>
  <c r="X95" s="1"/>
  <c r="G96"/>
  <c r="X96" s="1"/>
  <c r="G97"/>
  <c r="X97" s="1"/>
  <c r="G98"/>
  <c r="X98" s="1"/>
  <c r="G99"/>
  <c r="X99" s="1"/>
  <c r="G100"/>
  <c r="X100" s="1"/>
  <c r="G101"/>
  <c r="X101" s="1"/>
  <c r="G102"/>
  <c r="X102" s="1"/>
  <c r="G103"/>
  <c r="X103" s="1"/>
  <c r="G104"/>
  <c r="X104" s="1"/>
  <c r="G105"/>
  <c r="X105" s="1"/>
  <c r="G106"/>
  <c r="X106" s="1"/>
  <c r="G107"/>
  <c r="X107" s="1"/>
  <c r="G108"/>
  <c r="X108" s="1"/>
  <c r="G109"/>
  <c r="X109" s="1"/>
  <c r="G110"/>
  <c r="X110" s="1"/>
  <c r="G111"/>
  <c r="X111" s="1"/>
  <c r="G112"/>
  <c r="X112" s="1"/>
  <c r="G113"/>
  <c r="X113" s="1"/>
  <c r="G114"/>
  <c r="X114" s="1"/>
  <c r="G115"/>
  <c r="X115" s="1"/>
  <c r="G116"/>
  <c r="X116" s="1"/>
  <c r="G117"/>
  <c r="X117" s="1"/>
  <c r="G118"/>
  <c r="X118" s="1"/>
  <c r="G119"/>
  <c r="X119" s="1"/>
  <c r="G120"/>
  <c r="X120" s="1"/>
  <c r="G121"/>
  <c r="X121" s="1"/>
  <c r="G122"/>
  <c r="X122" s="1"/>
  <c r="G123"/>
  <c r="X123" s="1"/>
  <c r="G124"/>
  <c r="X124" s="1"/>
  <c r="G125"/>
  <c r="X125" s="1"/>
  <c r="G126"/>
  <c r="X126" s="1"/>
  <c r="G127"/>
  <c r="X127" s="1"/>
  <c r="G128"/>
  <c r="X128" s="1"/>
  <c r="G129"/>
  <c r="X129" s="1"/>
  <c r="T129"/>
  <c r="G130"/>
  <c r="X130" s="1"/>
  <c r="T130"/>
  <c r="G131"/>
  <c r="X131" s="1"/>
  <c r="T131"/>
  <c r="G132"/>
  <c r="X132" s="1"/>
  <c r="T132"/>
  <c r="G133"/>
  <c r="X133" s="1"/>
  <c r="T133"/>
  <c r="G134"/>
  <c r="X134" s="1"/>
  <c r="T134"/>
  <c r="G135"/>
  <c r="X135" s="1"/>
  <c r="G136"/>
  <c r="X136" s="1"/>
  <c r="T136"/>
  <c r="G137"/>
  <c r="X137" s="1"/>
  <c r="G138"/>
  <c r="T138"/>
  <c r="X138"/>
  <c r="G139"/>
  <c r="X139" s="1"/>
  <c r="T139"/>
  <c r="G140"/>
  <c r="X140" s="1"/>
  <c r="G141"/>
  <c r="X141" s="1"/>
  <c r="G142"/>
  <c r="X142" s="1"/>
  <c r="G143"/>
  <c r="X143" s="1"/>
  <c r="G144"/>
  <c r="X144" s="1"/>
  <c r="T144"/>
  <c r="G145"/>
  <c r="X145" s="1"/>
  <c r="T145"/>
  <c r="G146"/>
  <c r="X146" s="1"/>
  <c r="T146"/>
  <c r="G147"/>
  <c r="X147" s="1"/>
  <c r="G148"/>
  <c r="X148" s="1"/>
  <c r="G149"/>
  <c r="X149" s="1"/>
  <c r="T149"/>
  <c r="G150"/>
  <c r="X150" s="1"/>
  <c r="T150"/>
  <c r="G151"/>
  <c r="X151" s="1"/>
  <c r="G152"/>
  <c r="X152" s="1"/>
  <c r="G153"/>
  <c r="X153" s="1"/>
  <c r="G154"/>
  <c r="X154" s="1"/>
  <c r="G155"/>
  <c r="X155" s="1"/>
  <c r="G156"/>
  <c r="X156" s="1"/>
  <c r="T156"/>
  <c r="G157"/>
  <c r="X157" s="1"/>
  <c r="T157"/>
  <c r="G158"/>
  <c r="X158" s="1"/>
  <c r="T158"/>
  <c r="G159"/>
  <c r="X159" s="1"/>
  <c r="G160"/>
  <c r="X160" s="1"/>
  <c r="T160"/>
  <c r="G161"/>
  <c r="X161" s="1"/>
  <c r="G162"/>
  <c r="X162" s="1"/>
  <c r="G163"/>
  <c r="X163" s="1"/>
  <c r="G164"/>
  <c r="X164" s="1"/>
  <c r="G165"/>
  <c r="X165" s="1"/>
  <c r="G166"/>
  <c r="X166" s="1"/>
  <c r="G167"/>
  <c r="X167" s="1"/>
  <c r="G168"/>
  <c r="X168" s="1"/>
  <c r="G169"/>
  <c r="X169" s="1"/>
  <c r="G170"/>
  <c r="X170" s="1"/>
  <c r="G171"/>
  <c r="X171" s="1"/>
  <c r="G172"/>
  <c r="X172" s="1"/>
  <c r="G173"/>
  <c r="X173" s="1"/>
  <c r="G174"/>
  <c r="X174" s="1"/>
  <c r="G175"/>
  <c r="X175" s="1"/>
  <c r="G176"/>
  <c r="X176" s="1"/>
  <c r="G177"/>
  <c r="X177" s="1"/>
  <c r="G178"/>
  <c r="X178" s="1"/>
  <c r="G179"/>
  <c r="X179" s="1"/>
  <c r="B180"/>
  <c r="C180"/>
  <c r="G180"/>
  <c r="X180" s="1"/>
  <c r="G181"/>
  <c r="X181" s="1"/>
  <c r="T181"/>
  <c r="G182"/>
  <c r="X182" s="1"/>
  <c r="T182"/>
  <c r="G183"/>
  <c r="X183" s="1"/>
  <c r="G184"/>
  <c r="X184" s="1"/>
  <c r="T184"/>
  <c r="G185"/>
  <c r="X185" s="1"/>
  <c r="G186"/>
  <c r="X186" s="1"/>
  <c r="G187"/>
  <c r="X187" s="1"/>
  <c r="G188"/>
  <c r="X188" s="1"/>
  <c r="G189"/>
  <c r="X189" s="1"/>
  <c r="G190"/>
  <c r="X190" s="1"/>
  <c r="G191"/>
  <c r="X191" s="1"/>
  <c r="G192"/>
  <c r="X192" s="1"/>
  <c r="T192"/>
  <c r="G193"/>
  <c r="X193" s="1"/>
  <c r="T193"/>
  <c r="G194"/>
  <c r="X194" s="1"/>
  <c r="G195"/>
  <c r="X195" s="1"/>
  <c r="G196"/>
  <c r="X196" s="1"/>
  <c r="G197"/>
  <c r="X197" s="1"/>
  <c r="G198"/>
  <c r="X198" s="1"/>
  <c r="G199"/>
  <c r="X199" s="1"/>
  <c r="G200"/>
  <c r="X200" s="1"/>
  <c r="G201"/>
  <c r="X201" s="1"/>
  <c r="G202"/>
  <c r="X202" s="1"/>
  <c r="G203"/>
  <c r="X203" s="1"/>
  <c r="G204"/>
  <c r="X204" s="1"/>
  <c r="G205"/>
  <c r="X205" s="1"/>
  <c r="T205"/>
  <c r="G206"/>
  <c r="X206" s="1"/>
  <c r="G207"/>
  <c r="X207" s="1"/>
  <c r="T207"/>
  <c r="G208"/>
  <c r="X208" s="1"/>
  <c r="T208"/>
  <c r="G209"/>
  <c r="X209" s="1"/>
  <c r="T209"/>
  <c r="G210"/>
  <c r="X210" s="1"/>
  <c r="S210" s="1"/>
  <c r="G211"/>
  <c r="T211"/>
  <c r="X211"/>
  <c r="G212"/>
  <c r="T212"/>
  <c r="X212"/>
  <c r="G213"/>
  <c r="T213"/>
  <c r="X213"/>
  <c r="G214"/>
  <c r="T214"/>
  <c r="X214"/>
  <c r="G215"/>
  <c r="T215"/>
  <c r="X215"/>
  <c r="G216"/>
  <c r="X216" s="1"/>
  <c r="T216"/>
  <c r="G217"/>
  <c r="T217"/>
  <c r="X217"/>
  <c r="G218"/>
  <c r="X218" s="1"/>
  <c r="G219"/>
  <c r="X219" s="1"/>
  <c r="G220"/>
  <c r="X220" s="1"/>
  <c r="G221"/>
  <c r="X221" s="1"/>
  <c r="G222"/>
  <c r="X222" s="1"/>
  <c r="G223"/>
  <c r="X223" s="1"/>
  <c r="G224"/>
  <c r="X224" s="1"/>
  <c r="G225"/>
  <c r="X225" s="1"/>
  <c r="G226"/>
  <c r="X226" s="1"/>
  <c r="G227"/>
  <c r="X227" s="1"/>
  <c r="G228"/>
  <c r="X228" s="1"/>
  <c r="G229"/>
  <c r="X229" s="1"/>
  <c r="G230"/>
  <c r="X230" s="1"/>
  <c r="G231"/>
  <c r="X231" s="1"/>
  <c r="G232"/>
  <c r="N232"/>
  <c r="X232"/>
  <c r="G233"/>
  <c r="X233" s="1"/>
  <c r="G234"/>
  <c r="X234" s="1"/>
  <c r="G235"/>
  <c r="X235" s="1"/>
  <c r="S235" s="1"/>
  <c r="G236"/>
  <c r="X236" s="1"/>
  <c r="G237"/>
  <c r="X237" s="1"/>
  <c r="G238"/>
  <c r="X238" s="1"/>
  <c r="G239"/>
  <c r="X239" s="1"/>
  <c r="T239"/>
  <c r="G240"/>
  <c r="X240" s="1"/>
  <c r="G241"/>
  <c r="X241" s="1"/>
  <c r="G242"/>
  <c r="X242" s="1"/>
  <c r="G243"/>
  <c r="X243" s="1"/>
  <c r="T243"/>
  <c r="G244"/>
  <c r="X244" s="1"/>
  <c r="G245"/>
  <c r="X245" s="1"/>
  <c r="T245"/>
  <c r="G246"/>
  <c r="X246" s="1"/>
  <c r="T246"/>
  <c r="G247"/>
  <c r="X247" s="1"/>
  <c r="G248"/>
  <c r="X248" s="1"/>
  <c r="G249"/>
  <c r="X249" s="1"/>
  <c r="G250"/>
  <c r="X250" s="1"/>
  <c r="G251"/>
  <c r="X251" s="1"/>
  <c r="G252"/>
  <c r="X252" s="1"/>
  <c r="G253"/>
  <c r="X253" s="1"/>
  <c r="G254"/>
  <c r="X254" s="1"/>
  <c r="G255"/>
  <c r="X255" s="1"/>
  <c r="G256"/>
  <c r="X256" s="1"/>
  <c r="G257"/>
  <c r="X257" s="1"/>
  <c r="G258"/>
  <c r="X258" s="1"/>
  <c r="G259"/>
  <c r="X259" s="1"/>
  <c r="G260"/>
  <c r="X260" s="1"/>
  <c r="G261"/>
  <c r="X261" s="1"/>
  <c r="G262"/>
  <c r="X262" s="1"/>
  <c r="G263"/>
  <c r="X263" s="1"/>
  <c r="T263"/>
  <c r="G264"/>
  <c r="X264" s="1"/>
  <c r="T264"/>
  <c r="G265"/>
  <c r="X265" s="1"/>
  <c r="T265"/>
  <c r="G266"/>
  <c r="X266" s="1"/>
  <c r="T266"/>
  <c r="G267"/>
  <c r="X267" s="1"/>
  <c r="T267"/>
  <c r="G268"/>
  <c r="X268" s="1"/>
  <c r="T268"/>
  <c r="G269"/>
  <c r="X269" s="1"/>
  <c r="T269"/>
  <c r="G270"/>
  <c r="X270" s="1"/>
  <c r="G271"/>
  <c r="X271" s="1"/>
  <c r="G272"/>
  <c r="X272" s="1"/>
  <c r="G273"/>
  <c r="X273" s="1"/>
  <c r="G274"/>
  <c r="X274" s="1"/>
  <c r="B275"/>
  <c r="B276" s="1"/>
  <c r="B277" s="1"/>
  <c r="B278" s="1"/>
  <c r="G275"/>
  <c r="X275" s="1"/>
  <c r="G276"/>
  <c r="X276" s="1"/>
  <c r="G277"/>
  <c r="X277" s="1"/>
  <c r="G278"/>
  <c r="X278" s="1"/>
  <c r="G279"/>
  <c r="X279" s="1"/>
  <c r="G280"/>
  <c r="X280" s="1"/>
  <c r="G281"/>
  <c r="T281"/>
  <c r="X281"/>
  <c r="G282"/>
  <c r="T282"/>
  <c r="X282"/>
  <c r="G283"/>
  <c r="T283"/>
  <c r="X283"/>
  <c r="G284"/>
  <c r="T284"/>
  <c r="X284"/>
  <c r="G285"/>
  <c r="T285"/>
  <c r="X285"/>
  <c r="G286"/>
  <c r="T286"/>
  <c r="X286"/>
  <c r="G287"/>
  <c r="T287"/>
  <c r="X287"/>
  <c r="G288"/>
  <c r="X288" s="1"/>
  <c r="T288"/>
  <c r="G289"/>
  <c r="T289"/>
  <c r="X289"/>
  <c r="G290"/>
  <c r="X290" s="1"/>
  <c r="T290"/>
  <c r="G291"/>
  <c r="T291"/>
  <c r="X291"/>
  <c r="G292"/>
  <c r="X292" s="1"/>
  <c r="T292"/>
  <c r="G293"/>
  <c r="T293"/>
  <c r="X293"/>
  <c r="G294"/>
  <c r="T294"/>
  <c r="X294"/>
  <c r="G295"/>
  <c r="T295"/>
  <c r="X295"/>
  <c r="G296"/>
  <c r="T296"/>
  <c r="X296"/>
  <c r="G297"/>
  <c r="T297"/>
  <c r="X297"/>
  <c r="G298"/>
  <c r="T298"/>
  <c r="X298"/>
  <c r="G299"/>
  <c r="T299"/>
  <c r="X299"/>
  <c r="G300"/>
  <c r="T300"/>
  <c r="X300"/>
  <c r="G301"/>
  <c r="T301"/>
  <c r="X301"/>
  <c r="G302"/>
  <c r="T302"/>
  <c r="X302"/>
  <c r="G303"/>
  <c r="X303" s="1"/>
  <c r="G304"/>
  <c r="X304" s="1"/>
  <c r="G305"/>
  <c r="X305" s="1"/>
  <c r="G306"/>
  <c r="X306" s="1"/>
  <c r="G307"/>
  <c r="X307" s="1"/>
  <c r="G308"/>
  <c r="X308" s="1"/>
  <c r="G309"/>
  <c r="X309" s="1"/>
  <c r="G310"/>
  <c r="X310" s="1"/>
  <c r="G311"/>
  <c r="X311" s="1"/>
  <c r="G312"/>
  <c r="X312" s="1"/>
  <c r="G313"/>
  <c r="X313" s="1"/>
  <c r="G314"/>
  <c r="X314" s="1"/>
  <c r="G315"/>
  <c r="X315" s="1"/>
  <c r="G316"/>
  <c r="X316" s="1"/>
  <c r="G317"/>
  <c r="X317" s="1"/>
  <c r="G318"/>
  <c r="X318" s="1"/>
  <c r="G319"/>
  <c r="X319" s="1"/>
  <c r="G320"/>
  <c r="X320" s="1"/>
  <c r="G321"/>
  <c r="X321" s="1"/>
  <c r="G322"/>
  <c r="X322" s="1"/>
  <c r="G323"/>
  <c r="X323" s="1"/>
  <c r="G324"/>
  <c r="X324" s="1"/>
  <c r="T324"/>
  <c r="G325"/>
  <c r="X325" s="1"/>
  <c r="G326"/>
  <c r="X326" s="1"/>
  <c r="G327"/>
  <c r="X327" s="1"/>
  <c r="G328"/>
  <c r="X328" s="1"/>
  <c r="G329"/>
  <c r="X329" s="1"/>
  <c r="G330"/>
  <c r="X330" s="1"/>
  <c r="G331"/>
  <c r="X331" s="1"/>
  <c r="G332"/>
  <c r="X332" s="1"/>
  <c r="G333"/>
  <c r="X333" s="1"/>
  <c r="G334"/>
  <c r="X334" s="1"/>
  <c r="G335"/>
  <c r="X335" s="1"/>
  <c r="G336"/>
  <c r="X336" s="1"/>
  <c r="G337"/>
  <c r="X337" s="1"/>
  <c r="G338"/>
  <c r="X338" s="1"/>
  <c r="G339"/>
  <c r="X339" s="1"/>
  <c r="G340"/>
  <c r="X340" s="1"/>
  <c r="G341"/>
  <c r="X341" s="1"/>
  <c r="G342"/>
  <c r="X342" s="1"/>
  <c r="G343"/>
  <c r="X343" s="1"/>
  <c r="G344"/>
  <c r="X344" s="1"/>
  <c r="G345"/>
  <c r="X345" s="1"/>
  <c r="G346"/>
  <c r="X346" s="1"/>
  <c r="G347"/>
  <c r="X347" s="1"/>
  <c r="G348"/>
  <c r="X348" s="1"/>
  <c r="G349"/>
  <c r="X349" s="1"/>
  <c r="G350"/>
  <c r="X350" s="1"/>
  <c r="G351"/>
  <c r="X351" s="1"/>
  <c r="G352"/>
  <c r="X352" s="1"/>
  <c r="G353"/>
  <c r="X353" s="1"/>
  <c r="G354"/>
  <c r="X354" s="1"/>
  <c r="G355"/>
  <c r="X355" s="1"/>
  <c r="G356"/>
  <c r="X356" s="1"/>
  <c r="G357"/>
  <c r="X357" s="1"/>
  <c r="G358"/>
  <c r="X358" s="1"/>
  <c r="G359"/>
  <c r="X359" s="1"/>
  <c r="G360"/>
  <c r="X360" s="1"/>
  <c r="G361"/>
  <c r="X361" s="1"/>
  <c r="G362"/>
  <c r="X362" s="1"/>
  <c r="G363"/>
  <c r="X363" s="1"/>
  <c r="G364"/>
  <c r="X364" s="1"/>
  <c r="G365"/>
  <c r="X365" s="1"/>
  <c r="G366"/>
  <c r="X366" s="1"/>
  <c r="G367"/>
  <c r="X367" s="1"/>
  <c r="G368"/>
  <c r="X368" s="1"/>
  <c r="G369"/>
  <c r="X369" s="1"/>
  <c r="G370"/>
  <c r="X370" s="1"/>
  <c r="G371"/>
  <c r="X371" s="1"/>
  <c r="T371"/>
  <c r="G372"/>
  <c r="X372" s="1"/>
  <c r="G373"/>
  <c r="T373"/>
  <c r="X373"/>
  <c r="G374"/>
  <c r="T374"/>
  <c r="X374"/>
  <c r="G375"/>
  <c r="T375"/>
  <c r="X375"/>
  <c r="G376"/>
  <c r="T376"/>
  <c r="X376"/>
  <c r="G377"/>
  <c r="X377" s="1"/>
  <c r="G378"/>
  <c r="X378" s="1"/>
  <c r="G379"/>
  <c r="T379"/>
  <c r="X379"/>
  <c r="G380"/>
  <c r="T380"/>
  <c r="X380"/>
  <c r="G381"/>
  <c r="X381" s="1"/>
  <c r="G382"/>
  <c r="X382" s="1"/>
  <c r="T382"/>
  <c r="G383"/>
  <c r="X383" s="1"/>
  <c r="G384"/>
  <c r="X384" s="1"/>
  <c r="T384"/>
  <c r="G385"/>
  <c r="X385" s="1"/>
  <c r="G386"/>
  <c r="X386" s="1"/>
  <c r="G387"/>
  <c r="X387" s="1"/>
  <c r="G388"/>
  <c r="X388" s="1"/>
  <c r="G389"/>
  <c r="X389" s="1"/>
  <c r="T389"/>
  <c r="G390"/>
  <c r="X390" s="1"/>
  <c r="G391"/>
  <c r="X391" s="1"/>
  <c r="G392"/>
  <c r="X392" s="1"/>
  <c r="G393"/>
  <c r="X393" s="1"/>
  <c r="G394"/>
  <c r="X394" s="1"/>
  <c r="T394"/>
  <c r="G395"/>
  <c r="X395" s="1"/>
  <c r="T395"/>
  <c r="G396"/>
  <c r="X396" s="1"/>
  <c r="G397"/>
  <c r="X397" s="1"/>
  <c r="G398"/>
  <c r="X398" s="1"/>
  <c r="G399"/>
  <c r="X399" s="1"/>
  <c r="G400"/>
  <c r="X400" s="1"/>
  <c r="G401"/>
  <c r="X401" s="1"/>
  <c r="B402"/>
  <c r="F402"/>
  <c r="G402"/>
  <c r="X402" s="1"/>
  <c r="G403"/>
  <c r="X403" s="1"/>
  <c r="G404"/>
  <c r="X404" s="1"/>
  <c r="G405"/>
  <c r="X405" s="1"/>
  <c r="G406"/>
  <c r="X406" s="1"/>
  <c r="B407"/>
  <c r="G407"/>
  <c r="X407" s="1"/>
  <c r="D408"/>
  <c r="G408"/>
  <c r="X408" s="1"/>
  <c r="G409"/>
  <c r="X409" s="1"/>
  <c r="G410"/>
  <c r="X410" s="1"/>
  <c r="B411"/>
  <c r="G411"/>
  <c r="X411" s="1"/>
  <c r="G412"/>
  <c r="X412" s="1"/>
  <c r="G413"/>
  <c r="X413" s="1"/>
  <c r="G414"/>
  <c r="X414" s="1"/>
  <c r="G415"/>
  <c r="X415" s="1"/>
  <c r="G416"/>
  <c r="X416" s="1"/>
  <c r="G417"/>
  <c r="X417" s="1"/>
  <c r="G418"/>
  <c r="X418" s="1"/>
  <c r="G419"/>
  <c r="X419" s="1"/>
  <c r="G420"/>
  <c r="X420" s="1"/>
  <c r="G421"/>
  <c r="X421" s="1"/>
  <c r="G422"/>
  <c r="T422"/>
  <c r="X422"/>
  <c r="G423"/>
  <c r="T423"/>
  <c r="X423"/>
  <c r="G424"/>
  <c r="X424" s="1"/>
  <c r="G425"/>
  <c r="X425" s="1"/>
  <c r="T425"/>
  <c r="G426"/>
  <c r="X426" s="1"/>
  <c r="G427"/>
  <c r="X427" s="1"/>
  <c r="G428"/>
  <c r="X428" s="1"/>
  <c r="G429"/>
  <c r="X429" s="1"/>
  <c r="G430"/>
  <c r="X430" s="1"/>
  <c r="T430"/>
  <c r="G431"/>
  <c r="X431" s="1"/>
  <c r="T431"/>
  <c r="G432"/>
  <c r="X432" s="1"/>
  <c r="T432"/>
  <c r="G433"/>
  <c r="X433" s="1"/>
  <c r="S433" s="1"/>
  <c r="G434"/>
  <c r="X434" s="1"/>
  <c r="G435"/>
  <c r="X435" s="1"/>
  <c r="S435" s="1"/>
  <c r="G436"/>
  <c r="X436" s="1"/>
  <c r="G437"/>
  <c r="X437" s="1"/>
  <c r="S437" s="1"/>
  <c r="G438"/>
  <c r="T438"/>
  <c r="X438"/>
  <c r="G439"/>
  <c r="X439" s="1"/>
  <c r="G440"/>
  <c r="X440" s="1"/>
  <c r="T440"/>
  <c r="G441"/>
  <c r="X441" s="1"/>
  <c r="T441"/>
  <c r="G442"/>
  <c r="X442" s="1"/>
  <c r="G443"/>
  <c r="X443" s="1"/>
  <c r="G444"/>
  <c r="X444" s="1"/>
  <c r="G445"/>
  <c r="T445"/>
  <c r="X445"/>
  <c r="G446"/>
  <c r="X446" s="1"/>
  <c r="G447"/>
  <c r="X447" s="1"/>
  <c r="G448"/>
  <c r="X448" s="1"/>
  <c r="G449"/>
  <c r="X449" s="1"/>
  <c r="S449" s="1"/>
  <c r="G450"/>
  <c r="X450" s="1"/>
  <c r="G451"/>
  <c r="X451" s="1"/>
  <c r="S451" s="1"/>
  <c r="G452"/>
  <c r="X452" s="1"/>
  <c r="G453"/>
  <c r="X453" s="1"/>
  <c r="S453" s="1"/>
  <c r="G454"/>
  <c r="X454" s="1"/>
  <c r="G455"/>
  <c r="X455" s="1"/>
  <c r="S455" s="1"/>
  <c r="G456"/>
  <c r="T456"/>
  <c r="X456"/>
  <c r="G457"/>
  <c r="X457" s="1"/>
  <c r="G458"/>
  <c r="X458" s="1"/>
  <c r="G459"/>
  <c r="X459" s="1"/>
  <c r="G460"/>
  <c r="X460" s="1"/>
  <c r="G461"/>
  <c r="X461" s="1"/>
  <c r="G462"/>
  <c r="X462" s="1"/>
  <c r="G463"/>
  <c r="X463" s="1"/>
  <c r="G464"/>
  <c r="X464" s="1"/>
  <c r="G465"/>
  <c r="X465" s="1"/>
  <c r="G466"/>
  <c r="X466" s="1"/>
  <c r="T466"/>
  <c r="G467"/>
  <c r="X467" s="1"/>
  <c r="G468"/>
  <c r="X468" s="1"/>
  <c r="T468"/>
  <c r="G469"/>
  <c r="X469" s="1"/>
  <c r="G470"/>
  <c r="X470" s="1"/>
  <c r="T470"/>
  <c r="G471"/>
  <c r="X471" s="1"/>
  <c r="G472"/>
  <c r="X472" s="1"/>
  <c r="G473"/>
  <c r="X473" s="1"/>
  <c r="G474"/>
  <c r="X474" s="1"/>
  <c r="G475"/>
  <c r="X475" s="1"/>
  <c r="G476"/>
  <c r="X476" s="1"/>
  <c r="G477"/>
  <c r="X477" s="1"/>
  <c r="G478"/>
  <c r="X478" s="1"/>
  <c r="G479"/>
  <c r="X479" s="1"/>
  <c r="G480"/>
  <c r="X480" s="1"/>
  <c r="G481"/>
  <c r="X481" s="1"/>
  <c r="G482"/>
  <c r="X482" s="1"/>
  <c r="G483"/>
  <c r="X483" s="1"/>
  <c r="G484"/>
  <c r="X484" s="1"/>
  <c r="G485"/>
  <c r="X485" s="1"/>
  <c r="G486"/>
  <c r="X486" s="1"/>
  <c r="G487"/>
  <c r="X487" s="1"/>
  <c r="G488"/>
  <c r="X488" s="1"/>
  <c r="G489"/>
  <c r="X489" s="1"/>
  <c r="G490"/>
  <c r="X490" s="1"/>
  <c r="G491"/>
  <c r="X491" s="1"/>
  <c r="G492"/>
  <c r="X492" s="1"/>
  <c r="G493"/>
  <c r="X493" s="1"/>
  <c r="G494"/>
  <c r="X494" s="1"/>
  <c r="G495"/>
  <c r="X495" s="1"/>
  <c r="G496"/>
  <c r="X496" s="1"/>
  <c r="T496"/>
  <c r="G497"/>
  <c r="X497" s="1"/>
  <c r="G498"/>
  <c r="X498" s="1"/>
  <c r="G499"/>
  <c r="X499" s="1"/>
  <c r="G500"/>
  <c r="X500" s="1"/>
  <c r="G501"/>
  <c r="X501" s="1"/>
  <c r="G502"/>
  <c r="X502" s="1"/>
  <c r="G503"/>
  <c r="X503" s="1"/>
  <c r="G504"/>
  <c r="X504" s="1"/>
  <c r="G505"/>
  <c r="X505" s="1"/>
  <c r="G506"/>
  <c r="X506" s="1"/>
  <c r="G507"/>
  <c r="X507" s="1"/>
  <c r="G508"/>
  <c r="X508" s="1"/>
  <c r="G509"/>
  <c r="X509" s="1"/>
  <c r="G510"/>
  <c r="X510" s="1"/>
  <c r="G511"/>
  <c r="X511" s="1"/>
  <c r="G512"/>
  <c r="X512" s="1"/>
  <c r="G513"/>
  <c r="X513" s="1"/>
  <c r="G514"/>
  <c r="X514" s="1"/>
  <c r="G515"/>
  <c r="X515" s="1"/>
  <c r="G516"/>
  <c r="X516" s="1"/>
  <c r="G517"/>
  <c r="X517" s="1"/>
  <c r="G518"/>
  <c r="X518" s="1"/>
  <c r="G519"/>
  <c r="X519" s="1"/>
  <c r="G520"/>
  <c r="X520" s="1"/>
  <c r="G521"/>
  <c r="X521" s="1"/>
  <c r="G522"/>
  <c r="X522" s="1"/>
  <c r="G523"/>
  <c r="X523" s="1"/>
  <c r="G524"/>
  <c r="X524" s="1"/>
  <c r="G525"/>
  <c r="X525" s="1"/>
  <c r="G526"/>
  <c r="X526" s="1"/>
  <c r="G527"/>
  <c r="X527" s="1"/>
  <c r="G528"/>
  <c r="X528" s="1"/>
  <c r="G529"/>
  <c r="X529" s="1"/>
  <c r="G530"/>
  <c r="X530" s="1"/>
  <c r="G531"/>
  <c r="X531" s="1"/>
  <c r="G532"/>
  <c r="X532" s="1"/>
  <c r="G533"/>
  <c r="X533" s="1"/>
  <c r="G534"/>
  <c r="X534" s="1"/>
  <c r="G535"/>
  <c r="X535" s="1"/>
  <c r="G536"/>
  <c r="X536" s="1"/>
  <c r="G537"/>
  <c r="X537" s="1"/>
  <c r="G538"/>
  <c r="X538" s="1"/>
  <c r="G539"/>
  <c r="X539" s="1"/>
  <c r="G540"/>
  <c r="X540" s="1"/>
  <c r="G541"/>
  <c r="X541" s="1"/>
  <c r="G542"/>
  <c r="X542" s="1"/>
  <c r="G543"/>
  <c r="X543" s="1"/>
  <c r="G544"/>
  <c r="X544" s="1"/>
  <c r="G545"/>
  <c r="X545" s="1"/>
  <c r="G546"/>
  <c r="X546" s="1"/>
  <c r="G547"/>
  <c r="X547" s="1"/>
  <c r="G548"/>
  <c r="X548" s="1"/>
  <c r="G549"/>
  <c r="X549" s="1"/>
  <c r="G550"/>
  <c r="X550" s="1"/>
  <c r="G551"/>
  <c r="X551" s="1"/>
  <c r="G552"/>
  <c r="X552" s="1"/>
  <c r="G553"/>
  <c r="X553" s="1"/>
  <c r="G554"/>
  <c r="X554" s="1"/>
  <c r="G555"/>
  <c r="X555" s="1"/>
  <c r="G556"/>
  <c r="X556" s="1"/>
  <c r="G557"/>
  <c r="X557" s="1"/>
  <c r="G558"/>
  <c r="X558" s="1"/>
  <c r="G559"/>
  <c r="X559" s="1"/>
  <c r="G560"/>
  <c r="X560" s="1"/>
  <c r="G561"/>
  <c r="X561" s="1"/>
  <c r="G562"/>
  <c r="X562" s="1"/>
  <c r="G563"/>
  <c r="X563" s="1"/>
  <c r="G564"/>
  <c r="X564" s="1"/>
  <c r="G565"/>
  <c r="X565" s="1"/>
  <c r="G566"/>
  <c r="X566" s="1"/>
  <c r="G567"/>
  <c r="X567" s="1"/>
  <c r="G568"/>
  <c r="X568" s="1"/>
  <c r="G569"/>
  <c r="X569" s="1"/>
  <c r="G570"/>
  <c r="X570" s="1"/>
  <c r="G571"/>
  <c r="X571" s="1"/>
  <c r="G572"/>
  <c r="X572" s="1"/>
  <c r="G573"/>
  <c r="X573" s="1"/>
  <c r="G574"/>
  <c r="X574" s="1"/>
  <c r="G575"/>
  <c r="X575" s="1"/>
  <c r="G576"/>
  <c r="X576" s="1"/>
  <c r="G577"/>
  <c r="X577" s="1"/>
  <c r="G578"/>
  <c r="X578" s="1"/>
  <c r="G579"/>
  <c r="X579" s="1"/>
  <c r="G580"/>
  <c r="X580" s="1"/>
  <c r="G581"/>
  <c r="X581" s="1"/>
  <c r="G582"/>
  <c r="X582" s="1"/>
  <c r="G583"/>
  <c r="X583" s="1"/>
  <c r="G584"/>
  <c r="X584" s="1"/>
  <c r="G585"/>
  <c r="X585" s="1"/>
  <c r="G586"/>
  <c r="X586" s="1"/>
  <c r="G587"/>
  <c r="X587" s="1"/>
  <c r="G588"/>
  <c r="X588" s="1"/>
  <c r="G589"/>
  <c r="X589" s="1"/>
  <c r="G590"/>
  <c r="X590" s="1"/>
  <c r="G591"/>
  <c r="X591" s="1"/>
  <c r="G592"/>
  <c r="X592" s="1"/>
  <c r="G593"/>
  <c r="X593" s="1"/>
  <c r="G594"/>
  <c r="X594" s="1"/>
  <c r="G595"/>
  <c r="X595" s="1"/>
  <c r="G596"/>
  <c r="X596" s="1"/>
  <c r="G597"/>
  <c r="X597" s="1"/>
  <c r="G598"/>
  <c r="X598" s="1"/>
  <c r="G599"/>
  <c r="X599" s="1"/>
  <c r="G600"/>
  <c r="X600" s="1"/>
  <c r="G601"/>
  <c r="X601" s="1"/>
  <c r="G602"/>
  <c r="X602" s="1"/>
  <c r="G603"/>
  <c r="X603" s="1"/>
  <c r="G604"/>
  <c r="X604" s="1"/>
  <c r="G605"/>
  <c r="X605" s="1"/>
  <c r="G606"/>
  <c r="X606" s="1"/>
  <c r="G607"/>
  <c r="X607" s="1"/>
  <c r="G608"/>
  <c r="X608" s="1"/>
  <c r="G609"/>
  <c r="X609" s="1"/>
  <c r="G610"/>
  <c r="X610" s="1"/>
  <c r="G611"/>
  <c r="X611" s="1"/>
  <c r="G612"/>
  <c r="X612" s="1"/>
  <c r="G613"/>
  <c r="X613" s="1"/>
  <c r="G614"/>
  <c r="X614" s="1"/>
  <c r="G615"/>
  <c r="X615" s="1"/>
  <c r="G616"/>
  <c r="X616" s="1"/>
  <c r="G617"/>
  <c r="X617" s="1"/>
  <c r="G618"/>
  <c r="X618" s="1"/>
  <c r="G619"/>
  <c r="X619" s="1"/>
  <c r="G620"/>
  <c r="X620" s="1"/>
  <c r="G621"/>
  <c r="X621" s="1"/>
  <c r="G622"/>
  <c r="X622" s="1"/>
  <c r="G623"/>
  <c r="X623" s="1"/>
  <c r="G624"/>
  <c r="X624" s="1"/>
  <c r="G625"/>
  <c r="X625" s="1"/>
  <c r="G626"/>
  <c r="X626" s="1"/>
  <c r="G627"/>
  <c r="X627" s="1"/>
  <c r="G628"/>
  <c r="X628" s="1"/>
  <c r="G629"/>
  <c r="X629" s="1"/>
  <c r="G630"/>
  <c r="X630" s="1"/>
  <c r="G631"/>
  <c r="X631" s="1"/>
  <c r="G632"/>
  <c r="X632" s="1"/>
  <c r="G633"/>
  <c r="X633" s="1"/>
  <c r="G634"/>
  <c r="X634" s="1"/>
  <c r="G635"/>
  <c r="X635" s="1"/>
  <c r="G636"/>
  <c r="X636" s="1"/>
  <c r="G637"/>
  <c r="X637" s="1"/>
  <c r="G638"/>
  <c r="X638" s="1"/>
  <c r="G639"/>
  <c r="X639" s="1"/>
  <c r="G640"/>
  <c r="X640" s="1"/>
  <c r="G641"/>
  <c r="X641" s="1"/>
  <c r="G642"/>
  <c r="X642" s="1"/>
  <c r="G643"/>
  <c r="X643" s="1"/>
  <c r="G644"/>
  <c r="X644" s="1"/>
  <c r="G645"/>
  <c r="X645" s="1"/>
  <c r="G646"/>
  <c r="X646" s="1"/>
  <c r="G647"/>
  <c r="X647" s="1"/>
  <c r="G648"/>
  <c r="X648" s="1"/>
  <c r="G649"/>
  <c r="X649" s="1"/>
  <c r="G650"/>
  <c r="X650" s="1"/>
  <c r="G651"/>
  <c r="X651" s="1"/>
  <c r="G652"/>
  <c r="X652" s="1"/>
  <c r="G653"/>
  <c r="X653" s="1"/>
  <c r="G654"/>
  <c r="X654" s="1"/>
  <c r="G655"/>
  <c r="X655" s="1"/>
  <c r="G656"/>
  <c r="X656" s="1"/>
  <c r="G657"/>
  <c r="X657" s="1"/>
  <c r="G658"/>
  <c r="X658" s="1"/>
  <c r="G659"/>
  <c r="X659" s="1"/>
  <c r="G660"/>
  <c r="X660" s="1"/>
  <c r="G661"/>
  <c r="X661" s="1"/>
  <c r="G662"/>
  <c r="X662" s="1"/>
  <c r="G663"/>
  <c r="X663" s="1"/>
  <c r="G664"/>
  <c r="X664" s="1"/>
  <c r="G665"/>
  <c r="X665" s="1"/>
  <c r="G666"/>
  <c r="X666" s="1"/>
  <c r="G667"/>
  <c r="X667" s="1"/>
  <c r="G668"/>
  <c r="X668" s="1"/>
  <c r="G669"/>
  <c r="X669" s="1"/>
  <c r="G670"/>
  <c r="X670" s="1"/>
  <c r="G671"/>
  <c r="X671" s="1"/>
  <c r="G672"/>
  <c r="X672" s="1"/>
  <c r="G673"/>
  <c r="X673" s="1"/>
  <c r="G674"/>
  <c r="X674" s="1"/>
  <c r="G675"/>
  <c r="X675" s="1"/>
  <c r="G676"/>
  <c r="X676" s="1"/>
  <c r="G677"/>
  <c r="X677" s="1"/>
  <c r="G678"/>
  <c r="X678" s="1"/>
  <c r="G679"/>
  <c r="X679" s="1"/>
  <c r="G680"/>
  <c r="X680" s="1"/>
  <c r="G681"/>
  <c r="X681" s="1"/>
  <c r="G682"/>
  <c r="X682" s="1"/>
  <c r="G683"/>
  <c r="X683" s="1"/>
  <c r="G684"/>
  <c r="X684" s="1"/>
  <c r="G685"/>
  <c r="X685" s="1"/>
  <c r="G686"/>
  <c r="X686" s="1"/>
  <c r="G687"/>
  <c r="X687" s="1"/>
  <c r="G688"/>
  <c r="X688" s="1"/>
  <c r="G689"/>
  <c r="X689" s="1"/>
  <c r="G690"/>
  <c r="X690" s="1"/>
  <c r="G691"/>
  <c r="X691" s="1"/>
  <c r="G692"/>
  <c r="X692" s="1"/>
  <c r="G693"/>
  <c r="X693" s="1"/>
  <c r="G694"/>
  <c r="X694" s="1"/>
  <c r="G695"/>
  <c r="X695" s="1"/>
  <c r="G696"/>
  <c r="X696" s="1"/>
  <c r="G697"/>
  <c r="X697" s="1"/>
  <c r="G698"/>
  <c r="X698" s="1"/>
  <c r="G699"/>
  <c r="X699" s="1"/>
  <c r="G700"/>
  <c r="X700" s="1"/>
  <c r="G701"/>
  <c r="X701" s="1"/>
  <c r="G702"/>
  <c r="X702" s="1"/>
  <c r="G703"/>
  <c r="X703" s="1"/>
  <c r="G704"/>
  <c r="X704" s="1"/>
  <c r="G705"/>
  <c r="X705" s="1"/>
  <c r="G706"/>
  <c r="X706" s="1"/>
  <c r="G707"/>
  <c r="X707" s="1"/>
  <c r="G708"/>
  <c r="X708" s="1"/>
  <c r="G709"/>
  <c r="X709" s="1"/>
  <c r="G710"/>
  <c r="X710" s="1"/>
  <c r="G711"/>
  <c r="X711" s="1"/>
  <c r="G712"/>
  <c r="X712" s="1"/>
  <c r="G713"/>
  <c r="X713" s="1"/>
  <c r="G714"/>
  <c r="X714" s="1"/>
  <c r="G715"/>
  <c r="X715" s="1"/>
  <c r="G716"/>
  <c r="X716" s="1"/>
  <c r="G717"/>
  <c r="X717" s="1"/>
  <c r="G718"/>
  <c r="X718" s="1"/>
  <c r="G719"/>
  <c r="X719" s="1"/>
  <c r="G720"/>
  <c r="X720" s="1"/>
  <c r="G721"/>
  <c r="X721" s="1"/>
  <c r="G722"/>
  <c r="X722" s="1"/>
  <c r="G723"/>
  <c r="X723" s="1"/>
  <c r="G724"/>
  <c r="X724" s="1"/>
  <c r="G725"/>
  <c r="X725" s="1"/>
  <c r="G726"/>
  <c r="X726" s="1"/>
  <c r="G727"/>
  <c r="X727" s="1"/>
  <c r="G728"/>
  <c r="X728" s="1"/>
  <c r="G729"/>
  <c r="X729" s="1"/>
  <c r="G730"/>
  <c r="X730" s="1"/>
  <c r="G731"/>
  <c r="X731" s="1"/>
  <c r="G732"/>
  <c r="X732" s="1"/>
  <c r="G733"/>
  <c r="X733" s="1"/>
  <c r="G734"/>
  <c r="X734" s="1"/>
  <c r="G735"/>
  <c r="X735" s="1"/>
  <c r="G736"/>
  <c r="X736" s="1"/>
  <c r="G737"/>
  <c r="X737" s="1"/>
  <c r="G738"/>
  <c r="X738" s="1"/>
  <c r="G739"/>
  <c r="X739" s="1"/>
  <c r="G740"/>
  <c r="X740" s="1"/>
  <c r="G741"/>
  <c r="X741" s="1"/>
  <c r="G742"/>
  <c r="X742" s="1"/>
  <c r="G743"/>
  <c r="X743" s="1"/>
  <c r="G744"/>
  <c r="X744" s="1"/>
  <c r="G745"/>
  <c r="X745" s="1"/>
  <c r="G746"/>
  <c r="X746" s="1"/>
  <c r="G747"/>
  <c r="X747" s="1"/>
  <c r="G748"/>
  <c r="X748" s="1"/>
  <c r="G749"/>
  <c r="X749" s="1"/>
  <c r="G750"/>
  <c r="X750" s="1"/>
  <c r="G751"/>
  <c r="X751" s="1"/>
  <c r="G752"/>
  <c r="X752" s="1"/>
  <c r="G753"/>
  <c r="X753" s="1"/>
  <c r="G754"/>
  <c r="X754" s="1"/>
  <c r="G755"/>
  <c r="X755" s="1"/>
  <c r="G756"/>
  <c r="X756" s="1"/>
  <c r="G757"/>
  <c r="X757" s="1"/>
  <c r="G758"/>
  <c r="X758" s="1"/>
  <c r="G759"/>
  <c r="X759" s="1"/>
  <c r="G760"/>
  <c r="X760" s="1"/>
  <c r="G761"/>
  <c r="X761" s="1"/>
  <c r="G762"/>
  <c r="X762" s="1"/>
  <c r="G763"/>
  <c r="X763" s="1"/>
  <c r="G764"/>
  <c r="X764" s="1"/>
  <c r="G765"/>
  <c r="X765" s="1"/>
  <c r="G766"/>
  <c r="X766" s="1"/>
  <c r="G767"/>
  <c r="X767" s="1"/>
  <c r="G768"/>
  <c r="X768" s="1"/>
  <c r="G769"/>
  <c r="X769" s="1"/>
  <c r="G770"/>
  <c r="X770" s="1"/>
  <c r="G771"/>
  <c r="X771" s="1"/>
  <c r="G772"/>
  <c r="X772" s="1"/>
  <c r="G773"/>
  <c r="X773" s="1"/>
  <c r="G774"/>
  <c r="X774" s="1"/>
  <c r="G775"/>
  <c r="X775" s="1"/>
  <c r="G776"/>
  <c r="X776" s="1"/>
  <c r="G777"/>
  <c r="X777" s="1"/>
  <c r="G778"/>
  <c r="X778" s="1"/>
  <c r="G779"/>
  <c r="X779" s="1"/>
  <c r="G780"/>
  <c r="X780" s="1"/>
  <c r="G781"/>
  <c r="X781" s="1"/>
  <c r="G782"/>
  <c r="X782" s="1"/>
  <c r="G783"/>
  <c r="X783" s="1"/>
  <c r="G784"/>
  <c r="X784" s="1"/>
  <c r="G785"/>
  <c r="X785" s="1"/>
  <c r="G786"/>
  <c r="X786" s="1"/>
  <c r="G787"/>
  <c r="X787" s="1"/>
  <c r="G788"/>
  <c r="X788" s="1"/>
  <c r="G789"/>
  <c r="X789" s="1"/>
  <c r="G790"/>
  <c r="X790" s="1"/>
  <c r="G791"/>
  <c r="X791" s="1"/>
  <c r="G792"/>
  <c r="X792" s="1"/>
  <c r="G793"/>
  <c r="X793" s="1"/>
  <c r="G794"/>
  <c r="X794" s="1"/>
  <c r="G795"/>
  <c r="X795" s="1"/>
  <c r="G796"/>
  <c r="X796" s="1"/>
  <c r="G797"/>
  <c r="X797" s="1"/>
  <c r="G798"/>
  <c r="X798" s="1"/>
  <c r="G799"/>
  <c r="X799" s="1"/>
  <c r="G802"/>
  <c r="X802" s="1"/>
  <c r="G803"/>
  <c r="X803" s="1"/>
  <c r="G804"/>
  <c r="X804" s="1"/>
  <c r="G805"/>
  <c r="X805" s="1"/>
  <c r="G806"/>
  <c r="X806" s="1"/>
  <c r="G807"/>
  <c r="X807" s="1"/>
  <c r="G808"/>
  <c r="X808" s="1"/>
  <c r="G809"/>
  <c r="X809" s="1"/>
  <c r="G810"/>
  <c r="X810" s="1"/>
  <c r="G811"/>
  <c r="X811" s="1"/>
  <c r="G812"/>
  <c r="X812" s="1"/>
  <c r="G813"/>
  <c r="X813" s="1"/>
  <c r="G814"/>
  <c r="X814" s="1"/>
  <c r="G815"/>
  <c r="X815" s="1"/>
  <c r="G816"/>
  <c r="X816" s="1"/>
  <c r="G817"/>
  <c r="X817" s="1"/>
  <c r="G818"/>
  <c r="X818" s="1"/>
  <c r="G819"/>
  <c r="X819" s="1"/>
  <c r="G820"/>
  <c r="X820" s="1"/>
  <c r="G821"/>
  <c r="X821" s="1"/>
  <c r="G822"/>
  <c r="X822" s="1"/>
  <c r="G823"/>
  <c r="X823" s="1"/>
  <c r="G824"/>
  <c r="X824" s="1"/>
  <c r="G825"/>
  <c r="X825" s="1"/>
  <c r="G826"/>
  <c r="X826" s="1"/>
  <c r="G827"/>
  <c r="X827" s="1"/>
  <c r="G828"/>
  <c r="X828" s="1"/>
  <c r="G829"/>
  <c r="X829" s="1"/>
  <c r="G830"/>
  <c r="X830" s="1"/>
  <c r="G831"/>
  <c r="X831" s="1"/>
  <c r="G832"/>
  <c r="X832" s="1"/>
  <c r="G833"/>
  <c r="X833" s="1"/>
  <c r="G834"/>
  <c r="X834" s="1"/>
  <c r="G835"/>
  <c r="X835" s="1"/>
  <c r="G836"/>
  <c r="X836" s="1"/>
  <c r="G837"/>
  <c r="X837" s="1"/>
  <c r="G838"/>
  <c r="X838" s="1"/>
  <c r="G839"/>
  <c r="X839" s="1"/>
  <c r="G840"/>
  <c r="X840" s="1"/>
  <c r="G841"/>
  <c r="X841" s="1"/>
  <c r="G842"/>
  <c r="X842" s="1"/>
  <c r="G870"/>
  <c r="X843"/>
  <c r="S843" s="1"/>
  <c r="T843" s="1"/>
  <c r="X844"/>
  <c r="S844" s="1"/>
  <c r="T844" s="1"/>
  <c r="X845"/>
  <c r="S845" s="1"/>
  <c r="T845" s="1"/>
  <c r="X846"/>
  <c r="S846" s="1"/>
  <c r="T846" s="1"/>
  <c r="X847"/>
  <c r="S847" s="1"/>
  <c r="T847" s="1"/>
  <c r="X848"/>
  <c r="S848" s="1"/>
  <c r="T848" s="1"/>
  <c r="X849"/>
  <c r="S849" s="1"/>
  <c r="T849" s="1"/>
  <c r="X850"/>
  <c r="S850" s="1"/>
  <c r="T850" s="1"/>
  <c r="X851"/>
  <c r="S851" s="1"/>
  <c r="T851" s="1"/>
  <c r="X852"/>
  <c r="S852" s="1"/>
  <c r="T852" s="1"/>
  <c r="G853"/>
  <c r="X853" s="1"/>
  <c r="G854"/>
  <c r="X854" s="1"/>
  <c r="G855"/>
  <c r="X855" s="1"/>
  <c r="G856"/>
  <c r="X856" s="1"/>
  <c r="G857"/>
  <c r="X857" s="1"/>
  <c r="X858"/>
  <c r="G859"/>
  <c r="X859" s="1"/>
  <c r="G860"/>
  <c r="X860" s="1"/>
  <c r="G861"/>
  <c r="X861" s="1"/>
  <c r="G862"/>
  <c r="X862" s="1"/>
  <c r="G863"/>
  <c r="X863" s="1"/>
  <c r="G864"/>
  <c r="X864" s="1"/>
  <c r="N865"/>
  <c r="R865" s="1"/>
  <c r="X865"/>
  <c r="G866"/>
  <c r="X866" s="1"/>
  <c r="G867"/>
  <c r="X867" s="1"/>
  <c r="G868"/>
  <c r="X868" s="1"/>
  <c r="G869"/>
  <c r="X869" s="1"/>
  <c r="R7" i="9"/>
  <c r="R8"/>
  <c r="R9"/>
  <c r="S9" s="1"/>
  <c r="T9" s="1"/>
  <c r="R10"/>
  <c r="R11"/>
  <c r="R12"/>
  <c r="R13"/>
  <c r="S13" s="1"/>
  <c r="T13" s="1"/>
  <c r="R14"/>
  <c r="R15"/>
  <c r="R16"/>
  <c r="R17"/>
  <c r="S17" s="1"/>
  <c r="T17" s="1"/>
  <c r="R18"/>
  <c r="R19"/>
  <c r="R20"/>
  <c r="R21"/>
  <c r="S21" s="1"/>
  <c r="T21" s="1"/>
  <c r="R22"/>
  <c r="R23"/>
  <c r="R24"/>
  <c r="R25"/>
  <c r="S25" s="1"/>
  <c r="T25" s="1"/>
  <c r="R26"/>
  <c r="R27"/>
  <c r="R28"/>
  <c r="R29"/>
  <c r="S29" s="1"/>
  <c r="T29" s="1"/>
  <c r="R30"/>
  <c r="R31"/>
  <c r="R32"/>
  <c r="R33"/>
  <c r="S33" s="1"/>
  <c r="T33" s="1"/>
  <c r="R34"/>
  <c r="R35"/>
  <c r="R36"/>
  <c r="R37"/>
  <c r="S37" s="1"/>
  <c r="T37" s="1"/>
  <c r="R38"/>
  <c r="R39"/>
  <c r="R40"/>
  <c r="R41"/>
  <c r="S41" s="1"/>
  <c r="T41" s="1"/>
  <c r="R42"/>
  <c r="R43"/>
  <c r="R44"/>
  <c r="R45"/>
  <c r="S45" s="1"/>
  <c r="T45" s="1"/>
  <c r="R46"/>
  <c r="R47"/>
  <c r="R48"/>
  <c r="R49"/>
  <c r="S49" s="1"/>
  <c r="T49" s="1"/>
  <c r="R50"/>
  <c r="R51"/>
  <c r="R52"/>
  <c r="R53"/>
  <c r="S53" s="1"/>
  <c r="T53" s="1"/>
  <c r="R54"/>
  <c r="R55"/>
  <c r="R56"/>
  <c r="R57"/>
  <c r="S57" s="1"/>
  <c r="T57" s="1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S105" s="1"/>
  <c r="T105" s="1"/>
  <c r="R106"/>
  <c r="R107"/>
  <c r="R108"/>
  <c r="R109"/>
  <c r="S109" s="1"/>
  <c r="T109" s="1"/>
  <c r="G110"/>
  <c r="R110"/>
  <c r="G111"/>
  <c r="R111"/>
  <c r="G112"/>
  <c r="R112"/>
  <c r="G113"/>
  <c r="R113"/>
  <c r="G114"/>
  <c r="R114"/>
  <c r="G115"/>
  <c r="R115"/>
  <c r="G116"/>
  <c r="R116"/>
  <c r="G117"/>
  <c r="R117"/>
  <c r="G118"/>
  <c r="R118"/>
  <c r="G119"/>
  <c r="R119"/>
  <c r="G120"/>
  <c r="R120"/>
  <c r="G121"/>
  <c r="R121"/>
  <c r="G122"/>
  <c r="R122"/>
  <c r="G123"/>
  <c r="R123"/>
  <c r="G124"/>
  <c r="R124"/>
  <c r="G125"/>
  <c r="R125"/>
  <c r="G126"/>
  <c r="R126"/>
  <c r="G127"/>
  <c r="R127"/>
  <c r="G128"/>
  <c r="N128"/>
  <c r="G129"/>
  <c r="R129"/>
  <c r="G130"/>
  <c r="R130"/>
  <c r="G131"/>
  <c r="R131"/>
  <c r="G132"/>
  <c r="R132"/>
  <c r="G133"/>
  <c r="N133"/>
  <c r="G134"/>
  <c r="R134"/>
  <c r="G135"/>
  <c r="R135"/>
  <c r="G136"/>
  <c r="R136"/>
  <c r="G137"/>
  <c r="R137"/>
  <c r="G138"/>
  <c r="R138"/>
  <c r="G139"/>
  <c r="R139"/>
  <c r="G140"/>
  <c r="R140"/>
  <c r="G141"/>
  <c r="R141"/>
  <c r="G142"/>
  <c r="R142"/>
  <c r="G143"/>
  <c r="R143"/>
  <c r="G144"/>
  <c r="R144"/>
  <c r="G145"/>
  <c r="R145"/>
  <c r="G146"/>
  <c r="R146"/>
  <c r="G147"/>
  <c r="R147"/>
  <c r="G148"/>
  <c r="R148"/>
  <c r="G149"/>
  <c r="R149"/>
  <c r="G150"/>
  <c r="R150"/>
  <c r="G151"/>
  <c r="R151"/>
  <c r="G152"/>
  <c r="R152"/>
  <c r="G153"/>
  <c r="R153"/>
  <c r="G154"/>
  <c r="R154"/>
  <c r="G155"/>
  <c r="R155"/>
  <c r="G156"/>
  <c r="R156"/>
  <c r="G157"/>
  <c r="R157"/>
  <c r="G158"/>
  <c r="R158"/>
  <c r="G159"/>
  <c r="R159"/>
  <c r="G160"/>
  <c r="R160"/>
  <c r="G161"/>
  <c r="R161"/>
  <c r="G162"/>
  <c r="R162"/>
  <c r="G163"/>
  <c r="R163"/>
  <c r="G164"/>
  <c r="R164"/>
  <c r="G165"/>
  <c r="R165"/>
  <c r="G166"/>
  <c r="R166"/>
  <c r="G167"/>
  <c r="R167"/>
  <c r="G168"/>
  <c r="R168"/>
  <c r="G169"/>
  <c r="R169"/>
  <c r="G170"/>
  <c r="R170"/>
  <c r="G171"/>
  <c r="R171"/>
  <c r="G172"/>
  <c r="R172"/>
  <c r="G173"/>
  <c r="R173"/>
  <c r="G174"/>
  <c r="R174"/>
  <c r="G175"/>
  <c r="R175"/>
  <c r="G176"/>
  <c r="R176"/>
  <c r="G177"/>
  <c r="R177"/>
  <c r="G178"/>
  <c r="R178"/>
  <c r="G179"/>
  <c r="R179"/>
  <c r="G180"/>
  <c r="R180"/>
  <c r="G181"/>
  <c r="R181"/>
  <c r="G182"/>
  <c r="R182"/>
  <c r="G183"/>
  <c r="R183"/>
  <c r="G184"/>
  <c r="R184"/>
  <c r="G185"/>
  <c r="R185"/>
  <c r="G186"/>
  <c r="R186"/>
  <c r="G187"/>
  <c r="R187"/>
  <c r="G188"/>
  <c r="R188"/>
  <c r="G189"/>
  <c r="R189"/>
  <c r="G190"/>
  <c r="R190"/>
  <c r="G191"/>
  <c r="R191"/>
  <c r="G192"/>
  <c r="R192"/>
  <c r="G193"/>
  <c r="R193"/>
  <c r="G194"/>
  <c r="R194"/>
  <c r="G195"/>
  <c r="R195"/>
  <c r="G196"/>
  <c r="R196"/>
  <c r="G197"/>
  <c r="R197"/>
  <c r="G198"/>
  <c r="R198"/>
  <c r="G199"/>
  <c r="R199"/>
  <c r="G200"/>
  <c r="R200"/>
  <c r="G201"/>
  <c r="R201"/>
  <c r="G202"/>
  <c r="R202"/>
  <c r="G203"/>
  <c r="R203"/>
  <c r="G204"/>
  <c r="R204"/>
  <c r="G205"/>
  <c r="R205"/>
  <c r="G206"/>
  <c r="R206"/>
  <c r="G207"/>
  <c r="R207"/>
  <c r="G208"/>
  <c r="R208"/>
  <c r="G209"/>
  <c r="R209"/>
  <c r="G210"/>
  <c r="P210"/>
  <c r="R210"/>
  <c r="G211"/>
  <c r="R211"/>
  <c r="G212"/>
  <c r="R212"/>
  <c r="G213"/>
  <c r="R213"/>
  <c r="G214"/>
  <c r="R214"/>
  <c r="G215"/>
  <c r="R215"/>
  <c r="G216"/>
  <c r="R216"/>
  <c r="G217"/>
  <c r="R217"/>
  <c r="G218"/>
  <c r="R218"/>
  <c r="G219"/>
  <c r="R219"/>
  <c r="G220"/>
  <c r="R220"/>
  <c r="G221"/>
  <c r="R221"/>
  <c r="G222"/>
  <c r="R222"/>
  <c r="G223"/>
  <c r="R223"/>
  <c r="G224"/>
  <c r="R224"/>
  <c r="G225"/>
  <c r="R225"/>
  <c r="G226"/>
  <c r="R226"/>
  <c r="G227"/>
  <c r="R227"/>
  <c r="G228"/>
  <c r="R228"/>
  <c r="G229"/>
  <c r="R229"/>
  <c r="G230"/>
  <c r="R230"/>
  <c r="G231"/>
  <c r="R231"/>
  <c r="R232"/>
  <c r="N233"/>
  <c r="R234"/>
  <c r="R235"/>
  <c r="S235" s="1"/>
  <c r="R236"/>
  <c r="S236" s="1"/>
  <c r="R237"/>
  <c r="S237" s="1"/>
  <c r="R238"/>
  <c r="R239"/>
  <c r="S239" s="1"/>
  <c r="R240"/>
  <c r="R241"/>
  <c r="R242"/>
  <c r="R243"/>
  <c r="S243" s="1"/>
  <c r="R244"/>
  <c r="S244" s="1"/>
  <c r="R245"/>
  <c r="S245" s="1"/>
  <c r="R246"/>
  <c r="R247"/>
  <c r="S247" s="1"/>
  <c r="N52" i="7"/>
  <c r="N67" s="1"/>
  <c r="P52"/>
  <c r="P67" s="1"/>
  <c r="N60"/>
  <c r="P60"/>
  <c r="P62"/>
  <c r="Q62" s="1"/>
  <c r="R62" s="1"/>
  <c r="P63"/>
  <c r="Q63" s="1"/>
  <c r="R63" s="1"/>
  <c r="P64"/>
  <c r="Q64" s="1"/>
  <c r="R64" s="1"/>
  <c r="N65"/>
  <c r="P65"/>
  <c r="B10" i="12"/>
  <c r="G33" i="15" l="1"/>
  <c r="G12" s="1"/>
  <c r="G13" s="1"/>
  <c r="F31"/>
  <c r="N249" i="9"/>
  <c r="T12" i="1"/>
  <c r="T14" s="1"/>
  <c r="R22"/>
  <c r="S23"/>
  <c r="D8" i="12"/>
  <c r="H12" i="15"/>
  <c r="F14" i="14"/>
  <c r="N871" i="10"/>
  <c r="N992" s="1"/>
  <c r="R232"/>
  <c r="R871" s="1"/>
  <c r="R992" s="1"/>
  <c r="S875"/>
  <c r="T875" s="1"/>
  <c r="Q65" i="7"/>
  <c r="C10" i="12"/>
  <c r="R133" i="9"/>
  <c r="R128"/>
  <c r="W229"/>
  <c r="S229" s="1"/>
  <c r="T229" s="1"/>
  <c r="W227"/>
  <c r="W225"/>
  <c r="W223"/>
  <c r="W221"/>
  <c r="S221" s="1"/>
  <c r="T221" s="1"/>
  <c r="W219"/>
  <c r="W217"/>
  <c r="W215"/>
  <c r="W213"/>
  <c r="S213" s="1"/>
  <c r="T213" s="1"/>
  <c r="W197"/>
  <c r="W140"/>
  <c r="W138"/>
  <c r="W136"/>
  <c r="S136" s="1"/>
  <c r="T136" s="1"/>
  <c r="W110"/>
  <c r="S110" s="1"/>
  <c r="T110" s="1"/>
  <c r="W231"/>
  <c r="S231" s="1"/>
  <c r="T231" s="1"/>
  <c r="W230"/>
  <c r="W228"/>
  <c r="S228" s="1"/>
  <c r="T228" s="1"/>
  <c r="W226"/>
  <c r="W224"/>
  <c r="S224" s="1"/>
  <c r="T224" s="1"/>
  <c r="W222"/>
  <c r="W220"/>
  <c r="S220" s="1"/>
  <c r="T220" s="1"/>
  <c r="W218"/>
  <c r="W216"/>
  <c r="S216" s="1"/>
  <c r="T216" s="1"/>
  <c r="W214"/>
  <c r="W212"/>
  <c r="S212" s="1"/>
  <c r="T212" s="1"/>
  <c r="W211"/>
  <c r="W199"/>
  <c r="S199" s="1"/>
  <c r="T199" s="1"/>
  <c r="W195"/>
  <c r="W193"/>
  <c r="W210"/>
  <c r="W209"/>
  <c r="S209" s="1"/>
  <c r="T209" s="1"/>
  <c r="W207"/>
  <c r="W205"/>
  <c r="S205" s="1"/>
  <c r="T205" s="1"/>
  <c r="W203"/>
  <c r="W201"/>
  <c r="S201" s="1"/>
  <c r="T201" s="1"/>
  <c r="W134"/>
  <c r="S134" s="1"/>
  <c r="T134" s="1"/>
  <c r="W128"/>
  <c r="W126"/>
  <c r="W122"/>
  <c r="S122" s="1"/>
  <c r="T122" s="1"/>
  <c r="W118"/>
  <c r="W114"/>
  <c r="S114" s="1"/>
  <c r="T114" s="1"/>
  <c r="S81"/>
  <c r="T81" s="1"/>
  <c r="S78"/>
  <c r="T78" s="1"/>
  <c r="S77"/>
  <c r="T77" s="1"/>
  <c r="S74"/>
  <c r="T74" s="1"/>
  <c r="S72"/>
  <c r="T72" s="1"/>
  <c r="S70"/>
  <c r="T70" s="1"/>
  <c r="S69"/>
  <c r="T69" s="1"/>
  <c r="S66"/>
  <c r="T66" s="1"/>
  <c r="S64"/>
  <c r="T64" s="1"/>
  <c r="S63"/>
  <c r="T63" s="1"/>
  <c r="S60"/>
  <c r="T60" s="1"/>
  <c r="S126"/>
  <c r="T126" s="1"/>
  <c r="S82"/>
  <c r="T82" s="1"/>
  <c r="S195"/>
  <c r="T195" s="1"/>
  <c r="S101"/>
  <c r="T101" s="1"/>
  <c r="W198"/>
  <c r="S198" s="1"/>
  <c r="T198" s="1"/>
  <c r="W196"/>
  <c r="W194"/>
  <c r="S194" s="1"/>
  <c r="T194" s="1"/>
  <c r="W192"/>
  <c r="W191"/>
  <c r="S191" s="1"/>
  <c r="T191" s="1"/>
  <c r="W190"/>
  <c r="S190" s="1"/>
  <c r="T190" s="1"/>
  <c r="W185"/>
  <c r="S185" s="1"/>
  <c r="T185" s="1"/>
  <c r="W184"/>
  <c r="S184" s="1"/>
  <c r="T184" s="1"/>
  <c r="W183"/>
  <c r="W182"/>
  <c r="W177"/>
  <c r="S177" s="1"/>
  <c r="T177" s="1"/>
  <c r="W176"/>
  <c r="W175"/>
  <c r="S175" s="1"/>
  <c r="T175" s="1"/>
  <c r="W174"/>
  <c r="S174" s="1"/>
  <c r="T174" s="1"/>
  <c r="W169"/>
  <c r="S169" s="1"/>
  <c r="T169" s="1"/>
  <c r="W168"/>
  <c r="S168" s="1"/>
  <c r="T168" s="1"/>
  <c r="W167"/>
  <c r="W166"/>
  <c r="W161"/>
  <c r="S161" s="1"/>
  <c r="T161" s="1"/>
  <c r="W160"/>
  <c r="W159"/>
  <c r="S159" s="1"/>
  <c r="T159" s="1"/>
  <c r="W158"/>
  <c r="S158" s="1"/>
  <c r="T158" s="1"/>
  <c r="W153"/>
  <c r="S153" s="1"/>
  <c r="T153" s="1"/>
  <c r="W152"/>
  <c r="W151"/>
  <c r="W150"/>
  <c r="S150" s="1"/>
  <c r="T150" s="1"/>
  <c r="W145"/>
  <c r="S145" s="1"/>
  <c r="T145" s="1"/>
  <c r="W144"/>
  <c r="W143"/>
  <c r="S143" s="1"/>
  <c r="T143" s="1"/>
  <c r="W142"/>
  <c r="S142" s="1"/>
  <c r="T142" s="1"/>
  <c r="W133"/>
  <c r="W132"/>
  <c r="S132" s="1"/>
  <c r="T132" s="1"/>
  <c r="W131"/>
  <c r="S131" s="1"/>
  <c r="T131" s="1"/>
  <c r="W130"/>
  <c r="S130" s="1"/>
  <c r="T130" s="1"/>
  <c r="W129"/>
  <c r="W127"/>
  <c r="S127" s="1"/>
  <c r="T127" s="1"/>
  <c r="W123"/>
  <c r="W121"/>
  <c r="S121" s="1"/>
  <c r="T121" s="1"/>
  <c r="W120"/>
  <c r="S120" s="1"/>
  <c r="T120" s="1"/>
  <c r="W115"/>
  <c r="W113"/>
  <c r="S113" s="1"/>
  <c r="T113" s="1"/>
  <c r="W112"/>
  <c r="S112" s="1"/>
  <c r="T112" s="1"/>
  <c r="S100"/>
  <c r="T100" s="1"/>
  <c r="S98"/>
  <c r="T98" s="1"/>
  <c r="S97"/>
  <c r="T97" s="1"/>
  <c r="S94"/>
  <c r="T94" s="1"/>
  <c r="S93"/>
  <c r="T93" s="1"/>
  <c r="S90"/>
  <c r="T90" s="1"/>
  <c r="S89"/>
  <c r="T89" s="1"/>
  <c r="W208"/>
  <c r="S208" s="1"/>
  <c r="T208" s="1"/>
  <c r="W206"/>
  <c r="S206" s="1"/>
  <c r="T206" s="1"/>
  <c r="W204"/>
  <c r="S204" s="1"/>
  <c r="T204" s="1"/>
  <c r="W202"/>
  <c r="W200"/>
  <c r="S200" s="1"/>
  <c r="T200" s="1"/>
  <c r="W189"/>
  <c r="S189" s="1"/>
  <c r="T189" s="1"/>
  <c r="W188"/>
  <c r="S188" s="1"/>
  <c r="T188" s="1"/>
  <c r="W187"/>
  <c r="S187" s="1"/>
  <c r="T187" s="1"/>
  <c r="W186"/>
  <c r="W181"/>
  <c r="S181" s="1"/>
  <c r="T181" s="1"/>
  <c r="W180"/>
  <c r="S180" s="1"/>
  <c r="T180" s="1"/>
  <c r="W179"/>
  <c r="S179" s="1"/>
  <c r="T179" s="1"/>
  <c r="W178"/>
  <c r="S178" s="1"/>
  <c r="T178" s="1"/>
  <c r="W173"/>
  <c r="S173" s="1"/>
  <c r="T173" s="1"/>
  <c r="W172"/>
  <c r="S172" s="1"/>
  <c r="T172" s="1"/>
  <c r="W171"/>
  <c r="S171" s="1"/>
  <c r="T171" s="1"/>
  <c r="W170"/>
  <c r="S170" s="1"/>
  <c r="T170" s="1"/>
  <c r="W165"/>
  <c r="S165" s="1"/>
  <c r="T165" s="1"/>
  <c r="W164"/>
  <c r="S164" s="1"/>
  <c r="T164" s="1"/>
  <c r="W163"/>
  <c r="S163" s="1"/>
  <c r="T163" s="1"/>
  <c r="W162"/>
  <c r="S162" s="1"/>
  <c r="T162" s="1"/>
  <c r="W157"/>
  <c r="S157" s="1"/>
  <c r="T157" s="1"/>
  <c r="W156"/>
  <c r="S156" s="1"/>
  <c r="T156" s="1"/>
  <c r="W155"/>
  <c r="S155" s="1"/>
  <c r="T155" s="1"/>
  <c r="W154"/>
  <c r="S154" s="1"/>
  <c r="T154" s="1"/>
  <c r="W149"/>
  <c r="S149" s="1"/>
  <c r="T149" s="1"/>
  <c r="W148"/>
  <c r="S148" s="1"/>
  <c r="T148" s="1"/>
  <c r="W147"/>
  <c r="S147" s="1"/>
  <c r="T147" s="1"/>
  <c r="W146"/>
  <c r="S146" s="1"/>
  <c r="T146" s="1"/>
  <c r="W141"/>
  <c r="S141" s="1"/>
  <c r="T141" s="1"/>
  <c r="W139"/>
  <c r="S139" s="1"/>
  <c r="T139" s="1"/>
  <c r="W137"/>
  <c r="S137" s="1"/>
  <c r="T137" s="1"/>
  <c r="W135"/>
  <c r="S135" s="1"/>
  <c r="T135" s="1"/>
  <c r="W125"/>
  <c r="S125" s="1"/>
  <c r="T125" s="1"/>
  <c r="W124"/>
  <c r="S124" s="1"/>
  <c r="T124" s="1"/>
  <c r="W119"/>
  <c r="S119" s="1"/>
  <c r="T119" s="1"/>
  <c r="W117"/>
  <c r="S117" s="1"/>
  <c r="T117" s="1"/>
  <c r="W116"/>
  <c r="S116" s="1"/>
  <c r="T116" s="1"/>
  <c r="W111"/>
  <c r="S111" s="1"/>
  <c r="T111" s="1"/>
  <c r="S197"/>
  <c r="T197" s="1"/>
  <c r="S183"/>
  <c r="T183" s="1"/>
  <c r="S167"/>
  <c r="T167" s="1"/>
  <c r="S151"/>
  <c r="T151" s="1"/>
  <c r="S56"/>
  <c r="T56" s="1"/>
  <c r="S52"/>
  <c r="T52" s="1"/>
  <c r="S48"/>
  <c r="T48" s="1"/>
  <c r="S44"/>
  <c r="T44" s="1"/>
  <c r="S40"/>
  <c r="T40" s="1"/>
  <c r="S36"/>
  <c r="T36" s="1"/>
  <c r="S32"/>
  <c r="T32" s="1"/>
  <c r="S28"/>
  <c r="T28" s="1"/>
  <c r="S24"/>
  <c r="T24" s="1"/>
  <c r="S20"/>
  <c r="T20" s="1"/>
  <c r="S16"/>
  <c r="T16" s="1"/>
  <c r="S12"/>
  <c r="T12" s="1"/>
  <c r="S8"/>
  <c r="T8" s="1"/>
  <c r="S7"/>
  <c r="S230"/>
  <c r="T230" s="1"/>
  <c r="S227"/>
  <c r="T227" s="1"/>
  <c r="S226"/>
  <c r="T226" s="1"/>
  <c r="S225"/>
  <c r="T225" s="1"/>
  <c r="S223"/>
  <c r="T223" s="1"/>
  <c r="S222"/>
  <c r="T222" s="1"/>
  <c r="S219"/>
  <c r="T219" s="1"/>
  <c r="S218"/>
  <c r="T218" s="1"/>
  <c r="S217"/>
  <c r="T217" s="1"/>
  <c r="S215"/>
  <c r="T215" s="1"/>
  <c r="S214"/>
  <c r="T214" s="1"/>
  <c r="S211"/>
  <c r="T211" s="1"/>
  <c r="S118"/>
  <c r="T118" s="1"/>
  <c r="S241"/>
  <c r="T241" s="1"/>
  <c r="S240"/>
  <c r="S232"/>
  <c r="T232" s="1"/>
  <c r="S207"/>
  <c r="T207" s="1"/>
  <c r="S203"/>
  <c r="T203" s="1"/>
  <c r="S192"/>
  <c r="T192" s="1"/>
  <c r="S186"/>
  <c r="T186" s="1"/>
  <c r="S182"/>
  <c r="T182" s="1"/>
  <c r="S176"/>
  <c r="T176" s="1"/>
  <c r="S166"/>
  <c r="T166" s="1"/>
  <c r="S160"/>
  <c r="T160" s="1"/>
  <c r="S152"/>
  <c r="T152" s="1"/>
  <c r="S144"/>
  <c r="T144" s="1"/>
  <c r="S140"/>
  <c r="T140" s="1"/>
  <c r="S138"/>
  <c r="T138" s="1"/>
  <c r="S107"/>
  <c r="T107" s="1"/>
  <c r="S103"/>
  <c r="T103" s="1"/>
  <c r="S96"/>
  <c r="T96" s="1"/>
  <c r="S95"/>
  <c r="T95" s="1"/>
  <c r="S92"/>
  <c r="T92" s="1"/>
  <c r="S91"/>
  <c r="T91" s="1"/>
  <c r="S88"/>
  <c r="T88" s="1"/>
  <c r="S86"/>
  <c r="T86" s="1"/>
  <c r="S84"/>
  <c r="T84" s="1"/>
  <c r="S83"/>
  <c r="T83" s="1"/>
  <c r="S80"/>
  <c r="T80" s="1"/>
  <c r="S79"/>
  <c r="T79" s="1"/>
  <c r="S76"/>
  <c r="T76" s="1"/>
  <c r="S75"/>
  <c r="T75" s="1"/>
  <c r="S68"/>
  <c r="T68" s="1"/>
  <c r="S67"/>
  <c r="T67" s="1"/>
  <c r="S62"/>
  <c r="T62" s="1"/>
  <c r="S61"/>
  <c r="T61" s="1"/>
  <c r="S193"/>
  <c r="T193" s="1"/>
  <c r="S123"/>
  <c r="T123" s="1"/>
  <c r="S115"/>
  <c r="T115" s="1"/>
  <c r="T245"/>
  <c r="T237"/>
  <c r="T247"/>
  <c r="T243"/>
  <c r="T239"/>
  <c r="T236"/>
  <c r="T235"/>
  <c r="R233"/>
  <c r="S233" s="1"/>
  <c r="S246"/>
  <c r="S242"/>
  <c r="S238"/>
  <c r="S234"/>
  <c r="S210"/>
  <c r="T210" s="1"/>
  <c r="S202"/>
  <c r="T202" s="1"/>
  <c r="S196"/>
  <c r="T196" s="1"/>
  <c r="T244"/>
  <c r="S128"/>
  <c r="T128" s="1"/>
  <c r="S129"/>
  <c r="T129" s="1"/>
  <c r="S108"/>
  <c r="T108" s="1"/>
  <c r="S106"/>
  <c r="T106" s="1"/>
  <c r="S104"/>
  <c r="T104" s="1"/>
  <c r="S102"/>
  <c r="T102" s="1"/>
  <c r="S99"/>
  <c r="T99" s="1"/>
  <c r="S87"/>
  <c r="T87" s="1"/>
  <c r="S85"/>
  <c r="T85" s="1"/>
  <c r="S73"/>
  <c r="T73" s="1"/>
  <c r="S71"/>
  <c r="T71" s="1"/>
  <c r="S65"/>
  <c r="T65" s="1"/>
  <c r="S59"/>
  <c r="T59" s="1"/>
  <c r="S58"/>
  <c r="T58" s="1"/>
  <c r="S55"/>
  <c r="T55" s="1"/>
  <c r="S54"/>
  <c r="T54" s="1"/>
  <c r="S51"/>
  <c r="T51" s="1"/>
  <c r="S50"/>
  <c r="T50" s="1"/>
  <c r="S47"/>
  <c r="T47" s="1"/>
  <c r="S46"/>
  <c r="T46" s="1"/>
  <c r="S43"/>
  <c r="T43" s="1"/>
  <c r="S42"/>
  <c r="T42" s="1"/>
  <c r="S39"/>
  <c r="T39" s="1"/>
  <c r="S38"/>
  <c r="T38" s="1"/>
  <c r="S35"/>
  <c r="T35" s="1"/>
  <c r="S34"/>
  <c r="T34" s="1"/>
  <c r="S31"/>
  <c r="T31" s="1"/>
  <c r="S30"/>
  <c r="T30" s="1"/>
  <c r="S27"/>
  <c r="T27" s="1"/>
  <c r="S26"/>
  <c r="T26" s="1"/>
  <c r="S23"/>
  <c r="T23" s="1"/>
  <c r="S22"/>
  <c r="T22" s="1"/>
  <c r="S19"/>
  <c r="T19" s="1"/>
  <c r="S18"/>
  <c r="T18" s="1"/>
  <c r="S15"/>
  <c r="T15" s="1"/>
  <c r="S14"/>
  <c r="T14" s="1"/>
  <c r="S11"/>
  <c r="T11" s="1"/>
  <c r="S10"/>
  <c r="T10" s="1"/>
  <c r="S869" i="10"/>
  <c r="T869" s="1"/>
  <c r="S868"/>
  <c r="T868" s="1"/>
  <c r="S867"/>
  <c r="T867" s="1"/>
  <c r="S866"/>
  <c r="T866" s="1"/>
  <c r="S864"/>
  <c r="T864" s="1"/>
  <c r="S863"/>
  <c r="T863" s="1"/>
  <c r="S839"/>
  <c r="S378"/>
  <c r="T378" s="1"/>
  <c r="S372"/>
  <c r="S322"/>
  <c r="T322" s="1"/>
  <c r="S320"/>
  <c r="T320" s="1"/>
  <c r="S318"/>
  <c r="T318" s="1"/>
  <c r="S316"/>
  <c r="S314"/>
  <c r="T314" s="1"/>
  <c r="S312"/>
  <c r="T312" s="1"/>
  <c r="S310"/>
  <c r="T310" s="1"/>
  <c r="S308"/>
  <c r="S306"/>
  <c r="T306" s="1"/>
  <c r="S304"/>
  <c r="T304" s="1"/>
  <c r="S280"/>
  <c r="T280" s="1"/>
  <c r="S278"/>
  <c r="T278" s="1"/>
  <c r="S277"/>
  <c r="T277" s="1"/>
  <c r="S135"/>
  <c r="T135" s="1"/>
  <c r="S127"/>
  <c r="T127" s="1"/>
  <c r="S125"/>
  <c r="T125" s="1"/>
  <c r="S123"/>
  <c r="S121"/>
  <c r="T121" s="1"/>
  <c r="S119"/>
  <c r="T119" s="1"/>
  <c r="S117"/>
  <c r="T117" s="1"/>
  <c r="S115"/>
  <c r="T115" s="1"/>
  <c r="S113"/>
  <c r="S111"/>
  <c r="T111" s="1"/>
  <c r="S109"/>
  <c r="T109" s="1"/>
  <c r="S107"/>
  <c r="T107" s="1"/>
  <c r="S105"/>
  <c r="T105" s="1"/>
  <c r="S103"/>
  <c r="T103" s="1"/>
  <c r="S101"/>
  <c r="T101" s="1"/>
  <c r="S233"/>
  <c r="T233" s="1"/>
  <c r="S231"/>
  <c r="T231" s="1"/>
  <c r="S229"/>
  <c r="T229" s="1"/>
  <c r="S227"/>
  <c r="T227" s="1"/>
  <c r="S225"/>
  <c r="T225" s="1"/>
  <c r="S223"/>
  <c r="T223" s="1"/>
  <c r="S221"/>
  <c r="T221" s="1"/>
  <c r="S219"/>
  <c r="T219" s="1"/>
  <c r="S99"/>
  <c r="T99" s="1"/>
  <c r="S97"/>
  <c r="S95"/>
  <c r="T95" s="1"/>
  <c r="S93"/>
  <c r="T93" s="1"/>
  <c r="S91"/>
  <c r="T91" s="1"/>
  <c r="S89"/>
  <c r="T89" s="1"/>
  <c r="S87"/>
  <c r="T87" s="1"/>
  <c r="S74"/>
  <c r="T74" s="1"/>
  <c r="S72"/>
  <c r="T72" s="1"/>
  <c r="S70"/>
  <c r="T70" s="1"/>
  <c r="S68"/>
  <c r="T68" s="1"/>
  <c r="S59"/>
  <c r="T59" s="1"/>
  <c r="S56"/>
  <c r="T56" s="1"/>
  <c r="S54"/>
  <c r="T54" s="1"/>
  <c r="S52"/>
  <c r="T52" s="1"/>
  <c r="S50"/>
  <c r="T50" s="1"/>
  <c r="S44"/>
  <c r="T44" s="1"/>
  <c r="S42"/>
  <c r="T42" s="1"/>
  <c r="S447"/>
  <c r="T447" s="1"/>
  <c r="S421"/>
  <c r="T421" s="1"/>
  <c r="S419"/>
  <c r="T419" s="1"/>
  <c r="S417"/>
  <c r="T417" s="1"/>
  <c r="S415"/>
  <c r="T415" s="1"/>
  <c r="S413"/>
  <c r="T413" s="1"/>
  <c r="S411"/>
  <c r="T411" s="1"/>
  <c r="S858"/>
  <c r="S464"/>
  <c r="T464" s="1"/>
  <c r="S462"/>
  <c r="T462" s="1"/>
  <c r="S460"/>
  <c r="T460" s="1"/>
  <c r="S458"/>
  <c r="T458" s="1"/>
  <c r="S444"/>
  <c r="T444" s="1"/>
  <c r="S442"/>
  <c r="T442" s="1"/>
  <c r="S429"/>
  <c r="T429" s="1"/>
  <c r="S427"/>
  <c r="T427" s="1"/>
  <c r="S410"/>
  <c r="T410" s="1"/>
  <c r="S408"/>
  <c r="T408" s="1"/>
  <c r="S407"/>
  <c r="T407" s="1"/>
  <c r="S406"/>
  <c r="T406" s="1"/>
  <c r="S404"/>
  <c r="T404" s="1"/>
  <c r="S402"/>
  <c r="S400"/>
  <c r="T400" s="1"/>
  <c r="S398"/>
  <c r="T398" s="1"/>
  <c r="S396"/>
  <c r="T396" s="1"/>
  <c r="S392"/>
  <c r="T392" s="1"/>
  <c r="S390"/>
  <c r="T390" s="1"/>
  <c r="S387"/>
  <c r="T387" s="1"/>
  <c r="S385"/>
  <c r="T385" s="1"/>
  <c r="S370"/>
  <c r="T370" s="1"/>
  <c r="S368"/>
  <c r="T368" s="1"/>
  <c r="S366"/>
  <c r="T366" s="1"/>
  <c r="S364"/>
  <c r="T364" s="1"/>
  <c r="S362"/>
  <c r="T362" s="1"/>
  <c r="S360"/>
  <c r="T360" s="1"/>
  <c r="S358"/>
  <c r="T358" s="1"/>
  <c r="S356"/>
  <c r="T356" s="1"/>
  <c r="S354"/>
  <c r="T354" s="1"/>
  <c r="S352"/>
  <c r="T352" s="1"/>
  <c r="S350"/>
  <c r="T350" s="1"/>
  <c r="S348"/>
  <c r="T348" s="1"/>
  <c r="S346"/>
  <c r="T346" s="1"/>
  <c r="S344"/>
  <c r="T344" s="1"/>
  <c r="S342"/>
  <c r="T342" s="1"/>
  <c r="S142"/>
  <c r="T142" s="1"/>
  <c r="S140"/>
  <c r="T140" s="1"/>
  <c r="S137"/>
  <c r="T137" s="1"/>
  <c r="S62"/>
  <c r="T62" s="1"/>
  <c r="S40"/>
  <c r="T40" s="1"/>
  <c r="S862"/>
  <c r="T862" s="1"/>
  <c r="S861"/>
  <c r="T861" s="1"/>
  <c r="S860"/>
  <c r="T860" s="1"/>
  <c r="S859"/>
  <c r="T859" s="1"/>
  <c r="S856"/>
  <c r="T856" s="1"/>
  <c r="S854"/>
  <c r="T854" s="1"/>
  <c r="S841"/>
  <c r="T841" s="1"/>
  <c r="S837"/>
  <c r="T837" s="1"/>
  <c r="S835"/>
  <c r="T835" s="1"/>
  <c r="S833"/>
  <c r="T833" s="1"/>
  <c r="S831"/>
  <c r="T831" s="1"/>
  <c r="S829"/>
  <c r="T829" s="1"/>
  <c r="S827"/>
  <c r="T827" s="1"/>
  <c r="S825"/>
  <c r="T825" s="1"/>
  <c r="S823"/>
  <c r="T823" s="1"/>
  <c r="S821"/>
  <c r="T821" s="1"/>
  <c r="S819"/>
  <c r="T819" s="1"/>
  <c r="S817"/>
  <c r="T817" s="1"/>
  <c r="S815"/>
  <c r="T815" s="1"/>
  <c r="S813"/>
  <c r="T813" s="1"/>
  <c r="S811"/>
  <c r="T811" s="1"/>
  <c r="S809"/>
  <c r="T809" s="1"/>
  <c r="S807"/>
  <c r="T807" s="1"/>
  <c r="S805"/>
  <c r="T805" s="1"/>
  <c r="S803"/>
  <c r="T803" s="1"/>
  <c r="S799"/>
  <c r="T799" s="1"/>
  <c r="S797"/>
  <c r="T797" s="1"/>
  <c r="S795"/>
  <c r="T795" s="1"/>
  <c r="S793"/>
  <c r="T793" s="1"/>
  <c r="S792"/>
  <c r="T792" s="1"/>
  <c r="S790"/>
  <c r="S788"/>
  <c r="T788" s="1"/>
  <c r="S786"/>
  <c r="S784"/>
  <c r="T784" s="1"/>
  <c r="S782"/>
  <c r="T782" s="1"/>
  <c r="S780"/>
  <c r="T780" s="1"/>
  <c r="S778"/>
  <c r="S776"/>
  <c r="T776" s="1"/>
  <c r="S774"/>
  <c r="T774" s="1"/>
  <c r="S772"/>
  <c r="T772" s="1"/>
  <c r="S770"/>
  <c r="S768"/>
  <c r="T768" s="1"/>
  <c r="S766"/>
  <c r="T766" s="1"/>
  <c r="S764"/>
  <c r="T764" s="1"/>
  <c r="S762"/>
  <c r="S760"/>
  <c r="T760" s="1"/>
  <c r="S758"/>
  <c r="T758" s="1"/>
  <c r="S756"/>
  <c r="T756" s="1"/>
  <c r="S754"/>
  <c r="S752"/>
  <c r="T752" s="1"/>
  <c r="S750"/>
  <c r="T750" s="1"/>
  <c r="S748"/>
  <c r="T748" s="1"/>
  <c r="S746"/>
  <c r="S744"/>
  <c r="T744" s="1"/>
  <c r="S742"/>
  <c r="T742" s="1"/>
  <c r="S740"/>
  <c r="T740" s="1"/>
  <c r="S738"/>
  <c r="S736"/>
  <c r="T736" s="1"/>
  <c r="S734"/>
  <c r="T734" s="1"/>
  <c r="S732"/>
  <c r="T732" s="1"/>
  <c r="S730"/>
  <c r="S728"/>
  <c r="T728" s="1"/>
  <c r="S726"/>
  <c r="T726" s="1"/>
  <c r="S724"/>
  <c r="T724" s="1"/>
  <c r="S722"/>
  <c r="S720"/>
  <c r="T720" s="1"/>
  <c r="S718"/>
  <c r="T718" s="1"/>
  <c r="S716"/>
  <c r="T716" s="1"/>
  <c r="S714"/>
  <c r="S712"/>
  <c r="T712" s="1"/>
  <c r="S710"/>
  <c r="T710" s="1"/>
  <c r="S708"/>
  <c r="T708" s="1"/>
  <c r="S706"/>
  <c r="T706" s="1"/>
  <c r="S704"/>
  <c r="T704" s="1"/>
  <c r="S702"/>
  <c r="S700"/>
  <c r="T700" s="1"/>
  <c r="S698"/>
  <c r="T698" s="1"/>
  <c r="S696"/>
  <c r="T696" s="1"/>
  <c r="S694"/>
  <c r="S692"/>
  <c r="T692" s="1"/>
  <c r="S690"/>
  <c r="T690" s="1"/>
  <c r="S688"/>
  <c r="T688" s="1"/>
  <c r="S686"/>
  <c r="S684"/>
  <c r="T684" s="1"/>
  <c r="S682"/>
  <c r="T682" s="1"/>
  <c r="S680"/>
  <c r="T680" s="1"/>
  <c r="S678"/>
  <c r="S676"/>
  <c r="T676" s="1"/>
  <c r="S674"/>
  <c r="T674" s="1"/>
  <c r="S672"/>
  <c r="T672" s="1"/>
  <c r="S670"/>
  <c r="S668"/>
  <c r="T668" s="1"/>
  <c r="S666"/>
  <c r="T666" s="1"/>
  <c r="S664"/>
  <c r="T664" s="1"/>
  <c r="S662"/>
  <c r="S660"/>
  <c r="T660" s="1"/>
  <c r="S658"/>
  <c r="T658" s="1"/>
  <c r="S656"/>
  <c r="T656" s="1"/>
  <c r="S654"/>
  <c r="S652"/>
  <c r="T652" s="1"/>
  <c r="S650"/>
  <c r="T650" s="1"/>
  <c r="S648"/>
  <c r="T648" s="1"/>
  <c r="S646"/>
  <c r="S644"/>
  <c r="T644" s="1"/>
  <c r="S642"/>
  <c r="T642" s="1"/>
  <c r="S640"/>
  <c r="T640" s="1"/>
  <c r="S638"/>
  <c r="T638" s="1"/>
  <c r="S636"/>
  <c r="T636" s="1"/>
  <c r="S634"/>
  <c r="T634" s="1"/>
  <c r="S632"/>
  <c r="T632" s="1"/>
  <c r="S630"/>
  <c r="T630" s="1"/>
  <c r="S628"/>
  <c r="T628" s="1"/>
  <c r="S626"/>
  <c r="T626" s="1"/>
  <c r="S624"/>
  <c r="T624" s="1"/>
  <c r="S622"/>
  <c r="T622" s="1"/>
  <c r="S620"/>
  <c r="T620" s="1"/>
  <c r="S618"/>
  <c r="T618" s="1"/>
  <c r="S616"/>
  <c r="T616" s="1"/>
  <c r="S614"/>
  <c r="T614" s="1"/>
  <c r="S612"/>
  <c r="T612" s="1"/>
  <c r="S610"/>
  <c r="T610" s="1"/>
  <c r="S608"/>
  <c r="T608" s="1"/>
  <c r="S606"/>
  <c r="T606" s="1"/>
  <c r="S604"/>
  <c r="T604" s="1"/>
  <c r="S602"/>
  <c r="T602" s="1"/>
  <c r="S600"/>
  <c r="T600" s="1"/>
  <c r="S598"/>
  <c r="T598" s="1"/>
  <c r="S596"/>
  <c r="T596" s="1"/>
  <c r="S594"/>
  <c r="T594" s="1"/>
  <c r="S592"/>
  <c r="T592" s="1"/>
  <c r="S590"/>
  <c r="T590" s="1"/>
  <c r="S588"/>
  <c r="T588" s="1"/>
  <c r="S586"/>
  <c r="T586" s="1"/>
  <c r="S584"/>
  <c r="T584" s="1"/>
  <c r="S582"/>
  <c r="T582" s="1"/>
  <c r="S580"/>
  <c r="T580" s="1"/>
  <c r="S578"/>
  <c r="T578" s="1"/>
  <c r="S576"/>
  <c r="T576" s="1"/>
  <c r="S574"/>
  <c r="T574" s="1"/>
  <c r="S572"/>
  <c r="T572" s="1"/>
  <c r="S570"/>
  <c r="T570" s="1"/>
  <c r="S568"/>
  <c r="T568" s="1"/>
  <c r="S566"/>
  <c r="T566" s="1"/>
  <c r="S564"/>
  <c r="T564" s="1"/>
  <c r="S562"/>
  <c r="T562" s="1"/>
  <c r="S560"/>
  <c r="T560" s="1"/>
  <c r="S558"/>
  <c r="T558" s="1"/>
  <c r="S556"/>
  <c r="T556" s="1"/>
  <c r="S554"/>
  <c r="T554" s="1"/>
  <c r="S552"/>
  <c r="T552" s="1"/>
  <c r="S550"/>
  <c r="T550" s="1"/>
  <c r="S548"/>
  <c r="T548" s="1"/>
  <c r="S546"/>
  <c r="T546" s="1"/>
  <c r="S544"/>
  <c r="T544" s="1"/>
  <c r="S542"/>
  <c r="T542" s="1"/>
  <c r="S540"/>
  <c r="T540" s="1"/>
  <c r="S538"/>
  <c r="T538" s="1"/>
  <c r="S536"/>
  <c r="T536" s="1"/>
  <c r="S534"/>
  <c r="T534" s="1"/>
  <c r="S532"/>
  <c r="T532" s="1"/>
  <c r="S530"/>
  <c r="T530" s="1"/>
  <c r="S528"/>
  <c r="T528" s="1"/>
  <c r="S526"/>
  <c r="T526" s="1"/>
  <c r="S524"/>
  <c r="T524" s="1"/>
  <c r="S522"/>
  <c r="T522" s="1"/>
  <c r="S520"/>
  <c r="T520" s="1"/>
  <c r="S518"/>
  <c r="T518" s="1"/>
  <c r="S516"/>
  <c r="T516" s="1"/>
  <c r="S514"/>
  <c r="T514" s="1"/>
  <c r="S512"/>
  <c r="T512" s="1"/>
  <c r="S510"/>
  <c r="T510" s="1"/>
  <c r="S508"/>
  <c r="T508" s="1"/>
  <c r="S506"/>
  <c r="T506" s="1"/>
  <c r="S504"/>
  <c r="T504" s="1"/>
  <c r="S502"/>
  <c r="S500"/>
  <c r="T500" s="1"/>
  <c r="S498"/>
  <c r="T498" s="1"/>
  <c r="S495"/>
  <c r="T495" s="1"/>
  <c r="S493"/>
  <c r="T493" s="1"/>
  <c r="S491"/>
  <c r="T491" s="1"/>
  <c r="S489"/>
  <c r="T489" s="1"/>
  <c r="S487"/>
  <c r="T487" s="1"/>
  <c r="S485"/>
  <c r="S483"/>
  <c r="T483" s="1"/>
  <c r="S481"/>
  <c r="T481" s="1"/>
  <c r="S479"/>
  <c r="T479" s="1"/>
  <c r="S477"/>
  <c r="T477" s="1"/>
  <c r="S475"/>
  <c r="T475" s="1"/>
  <c r="S473"/>
  <c r="T473" s="1"/>
  <c r="S471"/>
  <c r="T471" s="1"/>
  <c r="S469"/>
  <c r="T469" s="1"/>
  <c r="S405"/>
  <c r="T405" s="1"/>
  <c r="S403"/>
  <c r="T403" s="1"/>
  <c r="S401"/>
  <c r="T401" s="1"/>
  <c r="S399"/>
  <c r="T399" s="1"/>
  <c r="S397"/>
  <c r="S393"/>
  <c r="T393" s="1"/>
  <c r="S391"/>
  <c r="T391" s="1"/>
  <c r="S388"/>
  <c r="T388" s="1"/>
  <c r="S386"/>
  <c r="T386" s="1"/>
  <c r="S383"/>
  <c r="T383" s="1"/>
  <c r="S369"/>
  <c r="T369" s="1"/>
  <c r="S367"/>
  <c r="S365"/>
  <c r="T365" s="1"/>
  <c r="S363"/>
  <c r="T363" s="1"/>
  <c r="S361"/>
  <c r="T361" s="1"/>
  <c r="S359"/>
  <c r="T359" s="1"/>
  <c r="S357"/>
  <c r="T357" s="1"/>
  <c r="S355"/>
  <c r="T355" s="1"/>
  <c r="S353"/>
  <c r="T353" s="1"/>
  <c r="S351"/>
  <c r="S349"/>
  <c r="T349" s="1"/>
  <c r="S347"/>
  <c r="T347" s="1"/>
  <c r="S345"/>
  <c r="T345" s="1"/>
  <c r="S343"/>
  <c r="T343" s="1"/>
  <c r="S341"/>
  <c r="T341" s="1"/>
  <c r="S339"/>
  <c r="T339" s="1"/>
  <c r="S337"/>
  <c r="T337" s="1"/>
  <c r="S335"/>
  <c r="S333"/>
  <c r="T333" s="1"/>
  <c r="S331"/>
  <c r="T331" s="1"/>
  <c r="S329"/>
  <c r="T329" s="1"/>
  <c r="S327"/>
  <c r="T327" s="1"/>
  <c r="S325"/>
  <c r="T325" s="1"/>
  <c r="S323"/>
  <c r="T323" s="1"/>
  <c r="S321"/>
  <c r="T321" s="1"/>
  <c r="S319"/>
  <c r="T319" s="1"/>
  <c r="S317"/>
  <c r="T317" s="1"/>
  <c r="S315"/>
  <c r="T315" s="1"/>
  <c r="S313"/>
  <c r="T313" s="1"/>
  <c r="S311"/>
  <c r="T311" s="1"/>
  <c r="S309"/>
  <c r="T309" s="1"/>
  <c r="S307"/>
  <c r="T307" s="1"/>
  <c r="S305"/>
  <c r="T305" s="1"/>
  <c r="S303"/>
  <c r="T303" s="1"/>
  <c r="S273"/>
  <c r="T273" s="1"/>
  <c r="S271"/>
  <c r="T271" s="1"/>
  <c r="S261"/>
  <c r="T261" s="1"/>
  <c r="S259"/>
  <c r="S257"/>
  <c r="T257" s="1"/>
  <c r="S255"/>
  <c r="T255" s="1"/>
  <c r="S253"/>
  <c r="T253" s="1"/>
  <c r="S251"/>
  <c r="T251" s="1"/>
  <c r="S249"/>
  <c r="T249" s="1"/>
  <c r="S247"/>
  <c r="T247" s="1"/>
  <c r="S242"/>
  <c r="T242" s="1"/>
  <c r="S240"/>
  <c r="S238"/>
  <c r="T238" s="1"/>
  <c r="S236"/>
  <c r="T236" s="1"/>
  <c r="S204"/>
  <c r="T204" s="1"/>
  <c r="S202"/>
  <c r="T202" s="1"/>
  <c r="S200"/>
  <c r="T200" s="1"/>
  <c r="S198"/>
  <c r="T198" s="1"/>
  <c r="S196"/>
  <c r="T196" s="1"/>
  <c r="S194"/>
  <c r="T194" s="1"/>
  <c r="S190"/>
  <c r="T190" s="1"/>
  <c r="S188"/>
  <c r="T188" s="1"/>
  <c r="S186"/>
  <c r="S180"/>
  <c r="T180" s="1"/>
  <c r="S178"/>
  <c r="T178" s="1"/>
  <c r="S176"/>
  <c r="S174"/>
  <c r="T174" s="1"/>
  <c r="S172"/>
  <c r="T172" s="1"/>
  <c r="S170"/>
  <c r="T170" s="1"/>
  <c r="S168"/>
  <c r="T168" s="1"/>
  <c r="S166"/>
  <c r="T166" s="1"/>
  <c r="S164"/>
  <c r="T164" s="1"/>
  <c r="S162"/>
  <c r="T162" s="1"/>
  <c r="S159"/>
  <c r="S155"/>
  <c r="T155" s="1"/>
  <c r="S153"/>
  <c r="T153" s="1"/>
  <c r="S151"/>
  <c r="T151" s="1"/>
  <c r="S147"/>
  <c r="T147" s="1"/>
  <c r="S84"/>
  <c r="S82"/>
  <c r="T82" s="1"/>
  <c r="S80"/>
  <c r="T80" s="1"/>
  <c r="S37"/>
  <c r="T37" s="1"/>
  <c r="S34"/>
  <c r="T34" s="1"/>
  <c r="S33"/>
  <c r="T33" s="1"/>
  <c r="S31"/>
  <c r="T31" s="1"/>
  <c r="S29"/>
  <c r="T29" s="1"/>
  <c r="S25"/>
  <c r="T25" s="1"/>
  <c r="S22"/>
  <c r="T22" s="1"/>
  <c r="S18"/>
  <c r="T18" s="1"/>
  <c r="S16"/>
  <c r="T16" s="1"/>
  <c r="S14"/>
  <c r="T14" s="1"/>
  <c r="S12"/>
  <c r="T12" s="1"/>
  <c r="S10"/>
  <c r="S857"/>
  <c r="T857" s="1"/>
  <c r="S855"/>
  <c r="S853"/>
  <c r="T853" s="1"/>
  <c r="S842"/>
  <c r="T842" s="1"/>
  <c r="S840"/>
  <c r="T840" s="1"/>
  <c r="S838"/>
  <c r="T838" s="1"/>
  <c r="S836"/>
  <c r="T836" s="1"/>
  <c r="S834"/>
  <c r="T834" s="1"/>
  <c r="S832"/>
  <c r="T832" s="1"/>
  <c r="S830"/>
  <c r="T830" s="1"/>
  <c r="S828"/>
  <c r="T828" s="1"/>
  <c r="S826"/>
  <c r="T826" s="1"/>
  <c r="S824"/>
  <c r="T824" s="1"/>
  <c r="S822"/>
  <c r="T822" s="1"/>
  <c r="S820"/>
  <c r="S818"/>
  <c r="T818" s="1"/>
  <c r="S816"/>
  <c r="T816" s="1"/>
  <c r="S814"/>
  <c r="T814" s="1"/>
  <c r="S812"/>
  <c r="T812" s="1"/>
  <c r="S810"/>
  <c r="T810" s="1"/>
  <c r="S808"/>
  <c r="T808" s="1"/>
  <c r="S806"/>
  <c r="T806" s="1"/>
  <c r="S804"/>
  <c r="T804" s="1"/>
  <c r="S802"/>
  <c r="T802" s="1"/>
  <c r="S798"/>
  <c r="T798" s="1"/>
  <c r="S796"/>
  <c r="T796" s="1"/>
  <c r="S794"/>
  <c r="T794" s="1"/>
  <c r="S787"/>
  <c r="T787" s="1"/>
  <c r="S785"/>
  <c r="T785" s="1"/>
  <c r="S783"/>
  <c r="T783" s="1"/>
  <c r="S781"/>
  <c r="T781" s="1"/>
  <c r="S779"/>
  <c r="T779" s="1"/>
  <c r="S777"/>
  <c r="T777" s="1"/>
  <c r="S775"/>
  <c r="T775" s="1"/>
  <c r="S773"/>
  <c r="T773" s="1"/>
  <c r="S771"/>
  <c r="T771" s="1"/>
  <c r="S769"/>
  <c r="T769" s="1"/>
  <c r="S767"/>
  <c r="T767" s="1"/>
  <c r="S765"/>
  <c r="T765" s="1"/>
  <c r="S763"/>
  <c r="T763" s="1"/>
  <c r="S761"/>
  <c r="T761" s="1"/>
  <c r="S759"/>
  <c r="T759" s="1"/>
  <c r="S757"/>
  <c r="T757" s="1"/>
  <c r="S755"/>
  <c r="T755" s="1"/>
  <c r="S753"/>
  <c r="T753" s="1"/>
  <c r="S751"/>
  <c r="T751" s="1"/>
  <c r="S749"/>
  <c r="T749" s="1"/>
  <c r="S747"/>
  <c r="T747" s="1"/>
  <c r="S745"/>
  <c r="T745" s="1"/>
  <c r="S743"/>
  <c r="T743" s="1"/>
  <c r="S741"/>
  <c r="T741" s="1"/>
  <c r="S739"/>
  <c r="T739" s="1"/>
  <c r="S737"/>
  <c r="T737" s="1"/>
  <c r="S735"/>
  <c r="T735" s="1"/>
  <c r="S733"/>
  <c r="T733" s="1"/>
  <c r="S731"/>
  <c r="T731" s="1"/>
  <c r="S729"/>
  <c r="T729" s="1"/>
  <c r="S727"/>
  <c r="T727" s="1"/>
  <c r="S725"/>
  <c r="T725" s="1"/>
  <c r="S723"/>
  <c r="T723" s="1"/>
  <c r="S721"/>
  <c r="T721" s="1"/>
  <c r="S719"/>
  <c r="T719" s="1"/>
  <c r="S717"/>
  <c r="T717" s="1"/>
  <c r="S715"/>
  <c r="T715" s="1"/>
  <c r="S713"/>
  <c r="T713" s="1"/>
  <c r="S711"/>
  <c r="T711" s="1"/>
  <c r="S709"/>
  <c r="T709" s="1"/>
  <c r="S707"/>
  <c r="T707" s="1"/>
  <c r="S705"/>
  <c r="T705" s="1"/>
  <c r="S703"/>
  <c r="T703" s="1"/>
  <c r="S701"/>
  <c r="T701" s="1"/>
  <c r="S699"/>
  <c r="T699" s="1"/>
  <c r="S697"/>
  <c r="T697" s="1"/>
  <c r="S695"/>
  <c r="T695" s="1"/>
  <c r="S693"/>
  <c r="T693" s="1"/>
  <c r="S691"/>
  <c r="T691" s="1"/>
  <c r="S689"/>
  <c r="T689" s="1"/>
  <c r="S687"/>
  <c r="T687" s="1"/>
  <c r="S685"/>
  <c r="T685" s="1"/>
  <c r="S683"/>
  <c r="T683" s="1"/>
  <c r="S681"/>
  <c r="T681" s="1"/>
  <c r="S679"/>
  <c r="T679" s="1"/>
  <c r="S677"/>
  <c r="T677" s="1"/>
  <c r="S675"/>
  <c r="T675" s="1"/>
  <c r="S673"/>
  <c r="T673" s="1"/>
  <c r="S671"/>
  <c r="T671" s="1"/>
  <c r="S669"/>
  <c r="T669" s="1"/>
  <c r="S667"/>
  <c r="T667" s="1"/>
  <c r="S665"/>
  <c r="T665" s="1"/>
  <c r="S663"/>
  <c r="T663" s="1"/>
  <c r="S661"/>
  <c r="T661" s="1"/>
  <c r="S659"/>
  <c r="T659" s="1"/>
  <c r="S657"/>
  <c r="T657" s="1"/>
  <c r="S655"/>
  <c r="T655" s="1"/>
  <c r="S653"/>
  <c r="T653" s="1"/>
  <c r="S651"/>
  <c r="T651" s="1"/>
  <c r="S649"/>
  <c r="T649" s="1"/>
  <c r="S647"/>
  <c r="T647" s="1"/>
  <c r="S645"/>
  <c r="T645" s="1"/>
  <c r="S643"/>
  <c r="T643" s="1"/>
  <c r="S641"/>
  <c r="S639"/>
  <c r="T639" s="1"/>
  <c r="S637"/>
  <c r="T637" s="1"/>
  <c r="S635"/>
  <c r="T635" s="1"/>
  <c r="S633"/>
  <c r="T633" s="1"/>
  <c r="S631"/>
  <c r="T631" s="1"/>
  <c r="S629"/>
  <c r="T629" s="1"/>
  <c r="S627"/>
  <c r="T627" s="1"/>
  <c r="S625"/>
  <c r="T625" s="1"/>
  <c r="S623"/>
  <c r="T623" s="1"/>
  <c r="S621"/>
  <c r="T621" s="1"/>
  <c r="S619"/>
  <c r="T619" s="1"/>
  <c r="S617"/>
  <c r="T617" s="1"/>
  <c r="S615"/>
  <c r="T615" s="1"/>
  <c r="S613"/>
  <c r="T613" s="1"/>
  <c r="S611"/>
  <c r="T611" s="1"/>
  <c r="S609"/>
  <c r="S607"/>
  <c r="T607" s="1"/>
  <c r="S605"/>
  <c r="T605" s="1"/>
  <c r="S603"/>
  <c r="T603" s="1"/>
  <c r="S601"/>
  <c r="T601" s="1"/>
  <c r="S599"/>
  <c r="T599" s="1"/>
  <c r="S597"/>
  <c r="T597" s="1"/>
  <c r="S595"/>
  <c r="T595" s="1"/>
  <c r="S593"/>
  <c r="T593" s="1"/>
  <c r="S591"/>
  <c r="T591" s="1"/>
  <c r="S589"/>
  <c r="T589" s="1"/>
  <c r="S587"/>
  <c r="T587" s="1"/>
  <c r="S585"/>
  <c r="T585" s="1"/>
  <c r="S583"/>
  <c r="T583" s="1"/>
  <c r="S581"/>
  <c r="T581" s="1"/>
  <c r="S579"/>
  <c r="T579" s="1"/>
  <c r="S577"/>
  <c r="S575"/>
  <c r="T575" s="1"/>
  <c r="S573"/>
  <c r="T573" s="1"/>
  <c r="S571"/>
  <c r="T571" s="1"/>
  <c r="S569"/>
  <c r="T569" s="1"/>
  <c r="S567"/>
  <c r="T567" s="1"/>
  <c r="S565"/>
  <c r="T565" s="1"/>
  <c r="S563"/>
  <c r="T563" s="1"/>
  <c r="S561"/>
  <c r="T561" s="1"/>
  <c r="S559"/>
  <c r="T559" s="1"/>
  <c r="S557"/>
  <c r="T557" s="1"/>
  <c r="S555"/>
  <c r="T555" s="1"/>
  <c r="S553"/>
  <c r="T553" s="1"/>
  <c r="S551"/>
  <c r="T551" s="1"/>
  <c r="S549"/>
  <c r="T549" s="1"/>
  <c r="S547"/>
  <c r="T547" s="1"/>
  <c r="S545"/>
  <c r="S543"/>
  <c r="T543" s="1"/>
  <c r="S541"/>
  <c r="T541" s="1"/>
  <c r="S539"/>
  <c r="T539" s="1"/>
  <c r="S537"/>
  <c r="T537" s="1"/>
  <c r="S535"/>
  <c r="T535" s="1"/>
  <c r="S533"/>
  <c r="T533" s="1"/>
  <c r="S531"/>
  <c r="T531" s="1"/>
  <c r="S529"/>
  <c r="T529" s="1"/>
  <c r="S527"/>
  <c r="T527" s="1"/>
  <c r="S525"/>
  <c r="T525" s="1"/>
  <c r="S523"/>
  <c r="T523" s="1"/>
  <c r="S521"/>
  <c r="T521" s="1"/>
  <c r="S519"/>
  <c r="T519" s="1"/>
  <c r="S517"/>
  <c r="T517" s="1"/>
  <c r="S515"/>
  <c r="T515" s="1"/>
  <c r="S513"/>
  <c r="T513" s="1"/>
  <c r="S511"/>
  <c r="T511" s="1"/>
  <c r="S509"/>
  <c r="T509" s="1"/>
  <c r="S507"/>
  <c r="T507" s="1"/>
  <c r="S505"/>
  <c r="T505" s="1"/>
  <c r="S503"/>
  <c r="T503" s="1"/>
  <c r="S501"/>
  <c r="T501" s="1"/>
  <c r="S499"/>
  <c r="T499" s="1"/>
  <c r="S497"/>
  <c r="T497" s="1"/>
  <c r="S494"/>
  <c r="T494" s="1"/>
  <c r="S492"/>
  <c r="T492" s="1"/>
  <c r="S490"/>
  <c r="T490" s="1"/>
  <c r="S488"/>
  <c r="T488" s="1"/>
  <c r="S486"/>
  <c r="T486" s="1"/>
  <c r="S484"/>
  <c r="T484" s="1"/>
  <c r="S482"/>
  <c r="T482" s="1"/>
  <c r="S480"/>
  <c r="T480" s="1"/>
  <c r="S478"/>
  <c r="T478" s="1"/>
  <c r="S476"/>
  <c r="T476" s="1"/>
  <c r="S474"/>
  <c r="T474" s="1"/>
  <c r="S472"/>
  <c r="T472" s="1"/>
  <c r="S467"/>
  <c r="T467" s="1"/>
  <c r="S465"/>
  <c r="T465" s="1"/>
  <c r="S463"/>
  <c r="T463" s="1"/>
  <c r="S461"/>
  <c r="T461" s="1"/>
  <c r="S459"/>
  <c r="T459" s="1"/>
  <c r="S457"/>
  <c r="T457" s="1"/>
  <c r="S454"/>
  <c r="T454" s="1"/>
  <c r="S452"/>
  <c r="T452" s="1"/>
  <c r="S450"/>
  <c r="T450" s="1"/>
  <c r="S448"/>
  <c r="T448" s="1"/>
  <c r="S443"/>
  <c r="T443" s="1"/>
  <c r="S439"/>
  <c r="S436"/>
  <c r="T436" s="1"/>
  <c r="S434"/>
  <c r="T434" s="1"/>
  <c r="S428"/>
  <c r="T428" s="1"/>
  <c r="S426"/>
  <c r="S424"/>
  <c r="T424" s="1"/>
  <c r="S420"/>
  <c r="S418"/>
  <c r="T418" s="1"/>
  <c r="S416"/>
  <c r="T416" s="1"/>
  <c r="S414"/>
  <c r="T414" s="1"/>
  <c r="S412"/>
  <c r="T412" s="1"/>
  <c r="S409"/>
  <c r="T409" s="1"/>
  <c r="S381"/>
  <c r="T381" s="1"/>
  <c r="S377"/>
  <c r="T377" s="1"/>
  <c r="S279"/>
  <c r="T279" s="1"/>
  <c r="S340"/>
  <c r="T340" s="1"/>
  <c r="S338"/>
  <c r="T338" s="1"/>
  <c r="S336"/>
  <c r="T336" s="1"/>
  <c r="S334"/>
  <c r="T334" s="1"/>
  <c r="S332"/>
  <c r="T332" s="1"/>
  <c r="S330"/>
  <c r="T330" s="1"/>
  <c r="S328"/>
  <c r="T328" s="1"/>
  <c r="S326"/>
  <c r="T326" s="1"/>
  <c r="S276"/>
  <c r="T276" s="1"/>
  <c r="S275"/>
  <c r="T275" s="1"/>
  <c r="S274"/>
  <c r="T274" s="1"/>
  <c r="S272"/>
  <c r="S270"/>
  <c r="T270" s="1"/>
  <c r="S262"/>
  <c r="T262" s="1"/>
  <c r="S260"/>
  <c r="T260" s="1"/>
  <c r="S258"/>
  <c r="T258" s="1"/>
  <c r="S256"/>
  <c r="T256" s="1"/>
  <c r="S254"/>
  <c r="T254" s="1"/>
  <c r="S252"/>
  <c r="T252" s="1"/>
  <c r="S250"/>
  <c r="T250" s="1"/>
  <c r="S248"/>
  <c r="T248" s="1"/>
  <c r="S244"/>
  <c r="T244" s="1"/>
  <c r="S241"/>
  <c r="T241" s="1"/>
  <c r="S237"/>
  <c r="T237" s="1"/>
  <c r="S234"/>
  <c r="T234" s="1"/>
  <c r="S230"/>
  <c r="T230" s="1"/>
  <c r="S228"/>
  <c r="T228" s="1"/>
  <c r="S226"/>
  <c r="T226" s="1"/>
  <c r="S224"/>
  <c r="T224" s="1"/>
  <c r="S222"/>
  <c r="T222" s="1"/>
  <c r="S220"/>
  <c r="T220" s="1"/>
  <c r="S218"/>
  <c r="T218" s="1"/>
  <c r="S206"/>
  <c r="T206" s="1"/>
  <c r="S203"/>
  <c r="T203" s="1"/>
  <c r="S201"/>
  <c r="T201" s="1"/>
  <c r="S199"/>
  <c r="T199" s="1"/>
  <c r="S197"/>
  <c r="T197" s="1"/>
  <c r="S195"/>
  <c r="T195" s="1"/>
  <c r="S191"/>
  <c r="T191" s="1"/>
  <c r="S189"/>
  <c r="T189" s="1"/>
  <c r="S187"/>
  <c r="T187" s="1"/>
  <c r="S185"/>
  <c r="T185" s="1"/>
  <c r="S183"/>
  <c r="T183" s="1"/>
  <c r="S179"/>
  <c r="T179" s="1"/>
  <c r="S177"/>
  <c r="T177" s="1"/>
  <c r="S175"/>
  <c r="T175" s="1"/>
  <c r="S173"/>
  <c r="T173" s="1"/>
  <c r="S171"/>
  <c r="T171" s="1"/>
  <c r="S169"/>
  <c r="T169" s="1"/>
  <c r="S167"/>
  <c r="T167" s="1"/>
  <c r="S165"/>
  <c r="T165" s="1"/>
  <c r="S163"/>
  <c r="T163" s="1"/>
  <c r="S161"/>
  <c r="T161" s="1"/>
  <c r="S154"/>
  <c r="T154" s="1"/>
  <c r="S152"/>
  <c r="T152" s="1"/>
  <c r="S148"/>
  <c r="T148" s="1"/>
  <c r="S143"/>
  <c r="T143" s="1"/>
  <c r="S141"/>
  <c r="T141" s="1"/>
  <c r="S128"/>
  <c r="T128" s="1"/>
  <c r="S126"/>
  <c r="T126" s="1"/>
  <c r="S124"/>
  <c r="T124" s="1"/>
  <c r="S122"/>
  <c r="T122" s="1"/>
  <c r="S120"/>
  <c r="T120" s="1"/>
  <c r="S118"/>
  <c r="T118" s="1"/>
  <c r="S116"/>
  <c r="T116" s="1"/>
  <c r="S114"/>
  <c r="T114" s="1"/>
  <c r="S112"/>
  <c r="T112" s="1"/>
  <c r="S110"/>
  <c r="T110" s="1"/>
  <c r="S108"/>
  <c r="T108" s="1"/>
  <c r="S106"/>
  <c r="T106" s="1"/>
  <c r="S104"/>
  <c r="T104" s="1"/>
  <c r="S102"/>
  <c r="T102" s="1"/>
  <c r="S100"/>
  <c r="T100" s="1"/>
  <c r="S98"/>
  <c r="T98" s="1"/>
  <c r="S96"/>
  <c r="T96" s="1"/>
  <c r="S94"/>
  <c r="T94" s="1"/>
  <c r="S92"/>
  <c r="T92" s="1"/>
  <c r="S90"/>
  <c r="T90" s="1"/>
  <c r="S88"/>
  <c r="T88" s="1"/>
  <c r="S85"/>
  <c r="T85" s="1"/>
  <c r="S83"/>
  <c r="T83" s="1"/>
  <c r="S75"/>
  <c r="T75" s="1"/>
  <c r="S73"/>
  <c r="T73" s="1"/>
  <c r="S71"/>
  <c r="T71" s="1"/>
  <c r="S69"/>
  <c r="T69" s="1"/>
  <c r="S67"/>
  <c r="T67" s="1"/>
  <c r="S63"/>
  <c r="T63" s="1"/>
  <c r="S61"/>
  <c r="T61" s="1"/>
  <c r="S58"/>
  <c r="T58" s="1"/>
  <c r="S57"/>
  <c r="T57" s="1"/>
  <c r="S55"/>
  <c r="T55" s="1"/>
  <c r="S53"/>
  <c r="T53" s="1"/>
  <c r="S51"/>
  <c r="T51" s="1"/>
  <c r="S47"/>
  <c r="T47" s="1"/>
  <c r="S43"/>
  <c r="T43" s="1"/>
  <c r="S38"/>
  <c r="T38" s="1"/>
  <c r="S36"/>
  <c r="T36" s="1"/>
  <c r="S27"/>
  <c r="T27" s="1"/>
  <c r="S24"/>
  <c r="T24" s="1"/>
  <c r="S23"/>
  <c r="T23" s="1"/>
  <c r="S21"/>
  <c r="T21" s="1"/>
  <c r="S17"/>
  <c r="T17" s="1"/>
  <c r="S15"/>
  <c r="T15" s="1"/>
  <c r="S13"/>
  <c r="T13" s="1"/>
  <c r="S11"/>
  <c r="T11" s="1"/>
  <c r="T858"/>
  <c r="T855"/>
  <c r="T839"/>
  <c r="T820"/>
  <c r="S865"/>
  <c r="T790"/>
  <c r="S791"/>
  <c r="T786"/>
  <c r="T778"/>
  <c r="T770"/>
  <c r="T762"/>
  <c r="T754"/>
  <c r="T746"/>
  <c r="T738"/>
  <c r="T730"/>
  <c r="T722"/>
  <c r="T714"/>
  <c r="S789"/>
  <c r="T702"/>
  <c r="T694"/>
  <c r="T686"/>
  <c r="T678"/>
  <c r="T670"/>
  <c r="T662"/>
  <c r="T654"/>
  <c r="T646"/>
  <c r="T641"/>
  <c r="T609"/>
  <c r="T577"/>
  <c r="T545"/>
  <c r="T502"/>
  <c r="T485"/>
  <c r="T455"/>
  <c r="T453"/>
  <c r="T451"/>
  <c r="T449"/>
  <c r="T426"/>
  <c r="T402"/>
  <c r="T397"/>
  <c r="T367"/>
  <c r="T351"/>
  <c r="T335"/>
  <c r="T259"/>
  <c r="T240"/>
  <c r="T439"/>
  <c r="T437"/>
  <c r="T435"/>
  <c r="T433"/>
  <c r="T420"/>
  <c r="T372"/>
  <c r="T316"/>
  <c r="T308"/>
  <c r="T272"/>
  <c r="T235"/>
  <c r="S446"/>
  <c r="T210"/>
  <c r="T186"/>
  <c r="T46"/>
  <c r="T32"/>
  <c r="T30"/>
  <c r="T28"/>
  <c r="T176"/>
  <c r="T159"/>
  <c r="T123"/>
  <c r="T113"/>
  <c r="T97"/>
  <c r="T84"/>
  <c r="T45"/>
  <c r="S133" i="9"/>
  <c r="T133" s="1"/>
  <c r="Q60" i="7"/>
  <c r="Q52"/>
  <c r="C12" i="12" l="1"/>
  <c r="B12"/>
  <c r="H13" i="15"/>
  <c r="G14"/>
  <c r="H14" s="1"/>
  <c r="J12" s="1"/>
  <c r="R249" i="9"/>
  <c r="R296" s="1"/>
  <c r="N296"/>
  <c r="Q67" i="7"/>
  <c r="Q93" s="1"/>
  <c r="S876" i="10"/>
  <c r="E8" i="12"/>
  <c r="F21" i="14"/>
  <c r="G23"/>
  <c r="G12" s="1"/>
  <c r="T10" i="10"/>
  <c r="S232"/>
  <c r="T232" s="1"/>
  <c r="T7" i="9"/>
  <c r="S249"/>
  <c r="R60" i="7"/>
  <c r="D10" i="12"/>
  <c r="T240" i="9"/>
  <c r="T238"/>
  <c r="T246"/>
  <c r="T234"/>
  <c r="T242"/>
  <c r="T233"/>
  <c r="T874" i="10"/>
  <c r="T876" s="1"/>
  <c r="T446"/>
  <c r="T789"/>
  <c r="T791"/>
  <c r="T865"/>
  <c r="R65" i="7"/>
  <c r="H15" i="15" l="1"/>
  <c r="H31" s="1"/>
  <c r="C9" i="12"/>
  <c r="B9"/>
  <c r="S871" i="10"/>
  <c r="S992" s="1"/>
  <c r="S1047" s="1"/>
  <c r="S296" i="9"/>
  <c r="S345" s="1"/>
  <c r="G13" i="14"/>
  <c r="H13" s="1"/>
  <c r="H12"/>
  <c r="T871" i="10"/>
  <c r="T992" s="1"/>
  <c r="T1047" s="1"/>
  <c r="T249" i="9"/>
  <c r="R52" i="7"/>
  <c r="R8" i="5"/>
  <c r="M9"/>
  <c r="R9"/>
  <c r="M10"/>
  <c r="R10"/>
  <c r="M11"/>
  <c r="R11"/>
  <c r="M12"/>
  <c r="R12"/>
  <c r="M13"/>
  <c r="R13"/>
  <c r="M14"/>
  <c r="R14"/>
  <c r="M15"/>
  <c r="R15"/>
  <c r="M16"/>
  <c r="R16"/>
  <c r="M17"/>
  <c r="R17"/>
  <c r="M18"/>
  <c r="R18"/>
  <c r="M19"/>
  <c r="R19"/>
  <c r="M20"/>
  <c r="R20"/>
  <c r="M21"/>
  <c r="R21"/>
  <c r="M22"/>
  <c r="R22"/>
  <c r="M23"/>
  <c r="R23"/>
  <c r="M24"/>
  <c r="R24"/>
  <c r="R25"/>
  <c r="R29"/>
  <c r="R8" i="4"/>
  <c r="S8" s="1"/>
  <c r="R11"/>
  <c r="S11" s="1"/>
  <c r="R12"/>
  <c r="S12" s="1"/>
  <c r="R13"/>
  <c r="S13" s="1"/>
  <c r="R14"/>
  <c r="S14" s="1"/>
  <c r="R16"/>
  <c r="S16" s="1"/>
  <c r="R17"/>
  <c r="S17" s="1"/>
  <c r="R19"/>
  <c r="S19" s="1"/>
  <c r="R20"/>
  <c r="S20" s="1"/>
  <c r="R21"/>
  <c r="S21" s="1"/>
  <c r="R22"/>
  <c r="S22" s="1"/>
  <c r="R25"/>
  <c r="S25" s="1"/>
  <c r="R26"/>
  <c r="S26" s="1"/>
  <c r="R27"/>
  <c r="S27" s="1"/>
  <c r="R28"/>
  <c r="S28" s="1"/>
  <c r="S29"/>
  <c r="R30"/>
  <c r="S30" s="1"/>
  <c r="N31"/>
  <c r="R33"/>
  <c r="R34"/>
  <c r="S34" s="1"/>
  <c r="R35"/>
  <c r="S35" s="1"/>
  <c r="N36"/>
  <c r="R40"/>
  <c r="S40" s="1"/>
  <c r="R41"/>
  <c r="S41" s="1"/>
  <c r="R42"/>
  <c r="S42" s="1"/>
  <c r="N43"/>
  <c r="O48"/>
  <c r="P48"/>
  <c r="K7" i="3"/>
  <c r="H7"/>
  <c r="I7"/>
  <c r="J7"/>
  <c r="V8" i="2"/>
  <c r="M26" i="5" l="1"/>
  <c r="M33" s="1"/>
  <c r="B11" i="12" s="1"/>
  <c r="D12"/>
  <c r="E12"/>
  <c r="H14" i="14"/>
  <c r="D9" i="12"/>
  <c r="R67" i="7"/>
  <c r="R93" s="1"/>
  <c r="E10" i="12" s="1"/>
  <c r="T296" i="9"/>
  <c r="T345" s="1"/>
  <c r="O24" i="5"/>
  <c r="P24" s="1"/>
  <c r="Q24" s="1"/>
  <c r="O23"/>
  <c r="P23" s="1"/>
  <c r="Q23" s="1"/>
  <c r="O22"/>
  <c r="P22" s="1"/>
  <c r="Q22" s="1"/>
  <c r="O21"/>
  <c r="P21" s="1"/>
  <c r="Q21" s="1"/>
  <c r="O20"/>
  <c r="P20" s="1"/>
  <c r="Q20" s="1"/>
  <c r="O19"/>
  <c r="P19" s="1"/>
  <c r="Q19" s="1"/>
  <c r="O18"/>
  <c r="P18" s="1"/>
  <c r="Q18" s="1"/>
  <c r="O17"/>
  <c r="P17" s="1"/>
  <c r="Q17" s="1"/>
  <c r="O16"/>
  <c r="P16" s="1"/>
  <c r="Q16" s="1"/>
  <c r="O15"/>
  <c r="P15" s="1"/>
  <c r="Q15" s="1"/>
  <c r="O14"/>
  <c r="P14" s="1"/>
  <c r="Q14" s="1"/>
  <c r="O13"/>
  <c r="P13" s="1"/>
  <c r="Q13" s="1"/>
  <c r="O12"/>
  <c r="P12" s="1"/>
  <c r="Q12" s="1"/>
  <c r="O11"/>
  <c r="P11" s="1"/>
  <c r="Q11" s="1"/>
  <c r="O10"/>
  <c r="P10" s="1"/>
  <c r="Q10" s="1"/>
  <c r="O9"/>
  <c r="L7" i="3"/>
  <c r="N38" i="4"/>
  <c r="B7" i="12" s="1"/>
  <c r="B14" s="1"/>
  <c r="R36" i="4"/>
  <c r="S33"/>
  <c r="Q36"/>
  <c r="Q31"/>
  <c r="Q43"/>
  <c r="S18"/>
  <c r="S23"/>
  <c r="R43"/>
  <c r="S10"/>
  <c r="S7"/>
  <c r="P9" i="5" l="1"/>
  <c r="P26" s="1"/>
  <c r="P33" s="1"/>
  <c r="O26"/>
  <c r="O33" s="1"/>
  <c r="C11" i="12" s="1"/>
  <c r="H21" i="14"/>
  <c r="E9" i="12"/>
  <c r="Q9" i="5"/>
  <c r="Q26" s="1"/>
  <c r="B28" i="12"/>
  <c r="Q38" i="4"/>
  <c r="C7" i="12" s="1"/>
  <c r="C14" s="1"/>
  <c r="C28" s="1"/>
  <c r="N7" i="3"/>
  <c r="P7"/>
  <c r="E18" i="12" s="1"/>
  <c r="S36" i="4"/>
  <c r="S9"/>
  <c r="S15"/>
  <c r="S43"/>
  <c r="R31"/>
  <c r="Q33" i="5" l="1"/>
  <c r="R38" i="4"/>
  <c r="D11" i="12"/>
  <c r="S31" i="4"/>
  <c r="S38" s="1"/>
  <c r="S48" s="1"/>
  <c r="D7" i="12" l="1"/>
  <c r="D14" s="1"/>
  <c r="D28" s="1"/>
  <c r="E11"/>
  <c r="E7"/>
  <c r="E14" l="1"/>
  <c r="E28" s="1"/>
</calcChain>
</file>

<file path=xl/sharedStrings.xml><?xml version="1.0" encoding="utf-8"?>
<sst xmlns="http://schemas.openxmlformats.org/spreadsheetml/2006/main" count="8696" uniqueCount="2831">
  <si>
    <t>CONSEJO NACIONAL DE SEGURIDAD SOCIAL</t>
  </si>
  <si>
    <t>Inventario de Activos Fijos (Equipos de Transporte, Tracción y Elevación)</t>
  </si>
  <si>
    <t>Fecha Adquisición</t>
  </si>
  <si>
    <t>Depreciación</t>
  </si>
  <si>
    <t>Código</t>
  </si>
  <si>
    <t>Descripción</t>
  </si>
  <si>
    <t>Marca</t>
  </si>
  <si>
    <t>Modelo</t>
  </si>
  <si>
    <t>Serie</t>
  </si>
  <si>
    <t>Proveedor</t>
  </si>
  <si>
    <t>Fecha de Adquisición</t>
  </si>
  <si>
    <t>dd</t>
  </si>
  <si>
    <t>mm</t>
  </si>
  <si>
    <t>aaaa</t>
  </si>
  <si>
    <t>Tipo de Documento</t>
  </si>
  <si>
    <t>No. de Documento</t>
  </si>
  <si>
    <t>Cuenta de Activo</t>
  </si>
  <si>
    <t>Costo de Adquisición</t>
  </si>
  <si>
    <t>Ubicación</t>
  </si>
  <si>
    <t>Categoría</t>
  </si>
  <si>
    <t>Años Vida Util</t>
  </si>
  <si>
    <t xml:space="preserve">Mensual </t>
  </si>
  <si>
    <t>Acumulada Dic. 2010</t>
  </si>
  <si>
    <t>Valor en Libros</t>
  </si>
  <si>
    <t>F-001</t>
  </si>
  <si>
    <t>Jeep, Color Gris</t>
  </si>
  <si>
    <t>Toyota</t>
  </si>
  <si>
    <t>Runnnier 2003</t>
  </si>
  <si>
    <t>JTEBY17R308000373</t>
  </si>
  <si>
    <t>Delta Comercial, C. por A.</t>
  </si>
  <si>
    <t>Factura</t>
  </si>
  <si>
    <t>121-03</t>
  </si>
  <si>
    <t>Serv. Generales</t>
  </si>
  <si>
    <t>F-003</t>
  </si>
  <si>
    <t>Jeep 4  Runner Limited</t>
  </si>
  <si>
    <t>4 RUNNER LIMITED</t>
  </si>
  <si>
    <t>JTEBU17R10K017512</t>
  </si>
  <si>
    <t>O/C</t>
  </si>
  <si>
    <t>F-004</t>
  </si>
  <si>
    <t>Camioneta HI-LUX doble cabina 4wD Diesel</t>
  </si>
  <si>
    <t xml:space="preserve">HI-LUX </t>
  </si>
  <si>
    <t>MROFR22GX00643110</t>
  </si>
  <si>
    <t>F-005</t>
  </si>
  <si>
    <t>MROFR22G500527152</t>
  </si>
  <si>
    <t>Totales</t>
  </si>
  <si>
    <t>Elevador de Pasajeros Tipo: Monospace Capacidad: 8 personas.</t>
  </si>
  <si>
    <t>KONE</t>
  </si>
  <si>
    <t>MONOSPACE</t>
  </si>
  <si>
    <t>Servicios e Instalaciones Técnicas, S.A.</t>
  </si>
  <si>
    <t>Equipos de Transporte Contraloria Gral. CNSS</t>
  </si>
  <si>
    <t>Contraloria</t>
  </si>
  <si>
    <t>Total</t>
  </si>
  <si>
    <t>121-09</t>
  </si>
  <si>
    <t>05-21/669408</t>
  </si>
  <si>
    <t>FACTURA</t>
  </si>
  <si>
    <t>Ferretería Americana</t>
  </si>
  <si>
    <t>Cheque</t>
  </si>
  <si>
    <t>Fecha</t>
  </si>
  <si>
    <t>Inventario de Activos Fijos (Equipos Varios)</t>
  </si>
  <si>
    <t>122-02</t>
  </si>
  <si>
    <t>Gobierno Central</t>
  </si>
  <si>
    <t>Edificio Torre de la Seguridad Social, Presidente Antonio Guzmán Fernández, Av. Tiradentes No. 33, Naco</t>
  </si>
  <si>
    <t>Vida Util</t>
  </si>
  <si>
    <t>Monto Sujeto a Depreciación</t>
  </si>
  <si>
    <t>Adiciones y Mejoras Capitalizadas</t>
  </si>
  <si>
    <t>Capitalización Intereses e Inicial</t>
  </si>
  <si>
    <t>Deducción Ascensores y Equipos</t>
  </si>
  <si>
    <t>Valor Tasación</t>
  </si>
  <si>
    <t>Inventario de Activos Fijos (Edificaciones)</t>
  </si>
  <si>
    <t>Sub-total Año 2010</t>
  </si>
  <si>
    <t>121-01</t>
  </si>
  <si>
    <t>Electron</t>
  </si>
  <si>
    <t>Planta Eléctrica SDMO V500UC2 II</t>
  </si>
  <si>
    <t>P-030</t>
  </si>
  <si>
    <t>P-029</t>
  </si>
  <si>
    <t>V500UC208001705</t>
  </si>
  <si>
    <t>V500UC2</t>
  </si>
  <si>
    <t>P-028</t>
  </si>
  <si>
    <t>Total Acumulado 2009</t>
  </si>
  <si>
    <t>Sub-total Año 2009</t>
  </si>
  <si>
    <t>Exide Internacional, C. por A.</t>
  </si>
  <si>
    <t>Trace</t>
  </si>
  <si>
    <t>Inversor 2.4 kilos</t>
  </si>
  <si>
    <t>P-027</t>
  </si>
  <si>
    <t>P-026</t>
  </si>
  <si>
    <t>Cocina CMR-Santiago</t>
  </si>
  <si>
    <t>Pend.</t>
  </si>
  <si>
    <t>Sub-total Año 2008</t>
  </si>
  <si>
    <t>Sótano/Serv. Generales</t>
  </si>
  <si>
    <t>Plaza Lama</t>
  </si>
  <si>
    <t>Bomba de agua ladrona 0.5 hp</t>
  </si>
  <si>
    <t>P-025</t>
  </si>
  <si>
    <t>121-02</t>
  </si>
  <si>
    <t>Refricentro Los Prados</t>
  </si>
  <si>
    <t>Lenox</t>
  </si>
  <si>
    <t>Aire Acondicionado Split de 12,000 BTU</t>
  </si>
  <si>
    <t>P-024</t>
  </si>
  <si>
    <t>P-023</t>
  </si>
  <si>
    <t>Refritecnica, C. por A.</t>
  </si>
  <si>
    <t>Classic</t>
  </si>
  <si>
    <t>Aire Acond. 5 Tonel. (Oficina Gerente General)</t>
  </si>
  <si>
    <t>P-022</t>
  </si>
  <si>
    <t>Victor García Aire Acondicionado, C. por A.</t>
  </si>
  <si>
    <t>BAR48-1</t>
  </si>
  <si>
    <t>Confor Star</t>
  </si>
  <si>
    <t>Aire Acondicionado Ductiable 4 Toneladas (Salón CNSS)</t>
  </si>
  <si>
    <t>P-021</t>
  </si>
  <si>
    <t>P-020</t>
  </si>
  <si>
    <t>Oficinas 7mo piso, Salon Pequeño</t>
  </si>
  <si>
    <t>BAR60-1</t>
  </si>
  <si>
    <t xml:space="preserve">Aire Acond. 5 Tonel. </t>
  </si>
  <si>
    <t>P-019</t>
  </si>
  <si>
    <t>6to piso</t>
  </si>
  <si>
    <t>Serie 172516483060700000</t>
  </si>
  <si>
    <t>CS060-1</t>
  </si>
  <si>
    <t>Aire Acondicionado (Area Financiera)</t>
  </si>
  <si>
    <t>P-018</t>
  </si>
  <si>
    <t>ACX9904-23477</t>
  </si>
  <si>
    <t>TCU3-030A</t>
  </si>
  <si>
    <t>Warning</t>
  </si>
  <si>
    <t>Aire Acondicionado (Subgerencia, Rec. Hum., Serv. Grales.)</t>
  </si>
  <si>
    <t>P-017</t>
  </si>
  <si>
    <t>Area Técnica</t>
  </si>
  <si>
    <t>4605A11306</t>
  </si>
  <si>
    <t>AFAIR101360-A</t>
  </si>
  <si>
    <t>Lennox</t>
  </si>
  <si>
    <t>Aire Acondicionado (Gerenca Técnica)</t>
  </si>
  <si>
    <t>P-016</t>
  </si>
  <si>
    <t>Asistente Pte. CNSS</t>
  </si>
  <si>
    <t>Contraloria General del CNSS</t>
  </si>
  <si>
    <t>Mitsawa</t>
  </si>
  <si>
    <t xml:space="preserve">Aire Acondicionado 12,000 BTU </t>
  </si>
  <si>
    <t>P-015</t>
  </si>
  <si>
    <t>Informática</t>
  </si>
  <si>
    <t>CWW-1015636</t>
  </si>
  <si>
    <t>KF65GW</t>
  </si>
  <si>
    <t xml:space="preserve">Aire Acondicionado 22,000 BTU </t>
  </si>
  <si>
    <t>P-014</t>
  </si>
  <si>
    <t>Oficina OAI</t>
  </si>
  <si>
    <t>BAR36-1</t>
  </si>
  <si>
    <t xml:space="preserve">Aire Acondicionado </t>
  </si>
  <si>
    <t>P-013</t>
  </si>
  <si>
    <t>Caseta Trasera</t>
  </si>
  <si>
    <t>JMN3312T</t>
  </si>
  <si>
    <t>Baldor</t>
  </si>
  <si>
    <t>Bomba de Agua</t>
  </si>
  <si>
    <t>P-012</t>
  </si>
  <si>
    <t>ID C549AU09U198R061F</t>
  </si>
  <si>
    <t>US Motors</t>
  </si>
  <si>
    <t>P-011</t>
  </si>
  <si>
    <t>Bomba Sumergible 1 1/2 HP</t>
  </si>
  <si>
    <t>P-010</t>
  </si>
  <si>
    <t>LJ35009U673979A</t>
  </si>
  <si>
    <t>AP/070/DP</t>
  </si>
  <si>
    <t>Dale</t>
  </si>
  <si>
    <t>Planta Eléctrica 56 KW; 1800 RPM, Gas-oil</t>
  </si>
  <si>
    <t>P-009</t>
  </si>
  <si>
    <t>P-008</t>
  </si>
  <si>
    <t>P-007</t>
  </si>
  <si>
    <t>Aire Acondicionado de 3 toneladas</t>
  </si>
  <si>
    <t>P-006</t>
  </si>
  <si>
    <t>Sótano</t>
  </si>
  <si>
    <t>EEB3415</t>
  </si>
  <si>
    <t>Electro</t>
  </si>
  <si>
    <t>Interruptor 1600 Amp 60 Hz</t>
  </si>
  <si>
    <t>P-005</t>
  </si>
  <si>
    <t>SKSB6780</t>
  </si>
  <si>
    <t>S &amp; K</t>
  </si>
  <si>
    <t>Transformador 500 Amp. 60 Hz (Trifásico)</t>
  </si>
  <si>
    <t>P-004</t>
  </si>
  <si>
    <t>SKSB9425</t>
  </si>
  <si>
    <t>Transfer Automático 60 Amp.</t>
  </si>
  <si>
    <t>P-003</t>
  </si>
  <si>
    <t>Transfer Automático 500 KVA</t>
  </si>
  <si>
    <t>P-002</t>
  </si>
  <si>
    <t xml:space="preserve">Ubicación </t>
  </si>
  <si>
    <t>Costo de Tasación</t>
  </si>
  <si>
    <t>Inventario de Activos Fijos (Equipos de Producción)</t>
  </si>
  <si>
    <t>Equipos de Comunicación CGCNSS</t>
  </si>
  <si>
    <t>121-06</t>
  </si>
  <si>
    <t>FACT.</t>
  </si>
  <si>
    <t>Danilo Music</t>
  </si>
  <si>
    <t>Micrófono ATW-701/L Audio Technica</t>
  </si>
  <si>
    <t>Sub-Total 2008</t>
  </si>
  <si>
    <t>Fact.</t>
  </si>
  <si>
    <t>Abastos y Sevicios</t>
  </si>
  <si>
    <t>PROGRAMA ADQUIRIDO EN REEMPLAZO DE UN NSR-25 RECORDER DISC</t>
  </si>
  <si>
    <t>SONY</t>
  </si>
  <si>
    <t xml:space="preserve">PERSONAL NETWORK CAMARA </t>
  </si>
  <si>
    <t>MP-HTS5100 POWERCENTER MONSTER</t>
  </si>
  <si>
    <t>SRP-X500P</t>
  </si>
  <si>
    <t>MIXER/AMPLIFICADOR SONY STEREO</t>
  </si>
  <si>
    <t>SLV-D370P</t>
  </si>
  <si>
    <t>VHS/DVD/CD COMBO</t>
  </si>
  <si>
    <t>SURFCEILING IR MOTION SENSOR</t>
  </si>
  <si>
    <t>VHA-0656</t>
  </si>
  <si>
    <t>LCD320C5 WALL BOX</t>
  </si>
  <si>
    <t>VDA-0143 16AWG CABLE VANTAGE</t>
  </si>
  <si>
    <t>V-SST-1-R3</t>
  </si>
  <si>
    <t>REV3 1HET/1COOL SINGLE VANTAGE</t>
  </si>
  <si>
    <t>V-PWR24</t>
  </si>
  <si>
    <t>TRANST. 24VAC/830MA VANTAGE</t>
  </si>
  <si>
    <t>Q-ETS3</t>
  </si>
  <si>
    <t>THEPT-A POINT VANTAGE</t>
  </si>
  <si>
    <t xml:space="preserve">FP3SPX FACEPLATE 3 GANG </t>
  </si>
  <si>
    <t>DS3BP SCENEPOINT DIMMER</t>
  </si>
  <si>
    <t>FFSP320C5-WH LCD SOFTLINE</t>
  </si>
  <si>
    <t>C5V-W</t>
  </si>
  <si>
    <t>C5V-W LCD 5,5 COLOR SCREEM</t>
  </si>
  <si>
    <t>THEPT-A</t>
  </si>
  <si>
    <t>CR 1000</t>
  </si>
  <si>
    <t>CR1000 RACK MOUNT CONTROLLER</t>
  </si>
  <si>
    <t>Sem. Delgate inc.</t>
  </si>
  <si>
    <t>Años de vida</t>
  </si>
  <si>
    <t xml:space="preserve"> Cuenta de Activo</t>
  </si>
  <si>
    <t>No. Doc.</t>
  </si>
  <si>
    <t>Tipo de doc.</t>
  </si>
  <si>
    <t>Descripcion</t>
  </si>
  <si>
    <t>Codigo</t>
  </si>
  <si>
    <t>Inventario de Activos Fijos (Equipos de Comunicación)</t>
  </si>
  <si>
    <t>Sub-total Año 2011</t>
  </si>
  <si>
    <t>Serviamed Dom.</t>
  </si>
  <si>
    <t>Balanza Adulto Lbs/Kg</t>
  </si>
  <si>
    <t>Estetoscopio Adulto Negro</t>
  </si>
  <si>
    <t>Camilla Exame 3pc/gav.V</t>
  </si>
  <si>
    <t>121-05</t>
  </si>
  <si>
    <t>Serviamed Dominicana, S.A.</t>
  </si>
  <si>
    <t>Detecto 439</t>
  </si>
  <si>
    <t>Balanza de adulto con tallimento Lbs/Kg</t>
  </si>
  <si>
    <t xml:space="preserve">Balanza de adulto con tallimento de 350Lbs.  </t>
  </si>
  <si>
    <t>Fármaco Quimica Nacional</t>
  </si>
  <si>
    <t>Negatoscopio de 1 pantalla R-29601</t>
  </si>
  <si>
    <t>Camillas 3 Psiciones R-1033-0092</t>
  </si>
  <si>
    <t>Silla de rueda Standar Mod. R-G918</t>
  </si>
  <si>
    <t>Equipo de Diagnostico ECON. R-2050</t>
  </si>
  <si>
    <t>Esfigmomanometro Riester de pared Big Ben Redondo 1459</t>
  </si>
  <si>
    <t>Banquillos  color negro, R-1841-2/1089-CP</t>
  </si>
  <si>
    <t>Medi Equipos, S. A.</t>
  </si>
  <si>
    <t>REHAWORL</t>
  </si>
  <si>
    <t>7" 8" Y 12" CON LECTURA DE 0" A 360"</t>
  </si>
  <si>
    <t xml:space="preserve">SET DE EVALUACION DE MANO: set de evaluación e mano </t>
  </si>
  <si>
    <t>Medi Equipos, S.A.</t>
  </si>
  <si>
    <t>Medi-Equipos S.A.</t>
  </si>
  <si>
    <t>GEN 1027033</t>
  </si>
  <si>
    <t>WINCO</t>
  </si>
  <si>
    <t>tope superior acojinado y acolchado (Importado)</t>
  </si>
  <si>
    <t>Medi-Equipos S. A.</t>
  </si>
  <si>
    <t>Regla Digitometrica.</t>
  </si>
  <si>
    <t>Medi -Equipos S.A.</t>
  </si>
  <si>
    <t>A-360 grados</t>
  </si>
  <si>
    <t>Rehaworld</t>
  </si>
  <si>
    <t xml:space="preserve">de 7" ,8" y 12", con Lectura de 0 grados. </t>
  </si>
  <si>
    <t xml:space="preserve">GONIOMETROS Set de 3 Gonometros Plasticos de 7" ,8" y 12", con Lectura de 0 grados. </t>
  </si>
  <si>
    <t>Farmaconal</t>
  </si>
  <si>
    <t>R-1841-2/1089-CP</t>
  </si>
  <si>
    <t>Banquillo Negro</t>
  </si>
  <si>
    <t>R-1033-0092</t>
  </si>
  <si>
    <t>Camillas de 3 Posiciones</t>
  </si>
  <si>
    <t>Big Ben</t>
  </si>
  <si>
    <t>Esfignomanometro Riester de Pared  Redondo</t>
  </si>
  <si>
    <t>R-29601</t>
  </si>
  <si>
    <t>Negatoscopio de 1 Pantalla</t>
  </si>
  <si>
    <t>R-G918</t>
  </si>
  <si>
    <t>Silla de Ruedas Estándar</t>
  </si>
  <si>
    <t>Set de Otorrinolaringologia</t>
  </si>
  <si>
    <t>Inventario de Activos Fijos (Equipos Médicos)</t>
  </si>
  <si>
    <t>No Aplica Depreciación (Fuente: Metodología para el Levantamiento de Bienes del Estado Dominicano, SIGEF, Mayo 2004)</t>
  </si>
  <si>
    <t>Nota:</t>
  </si>
  <si>
    <t>Ofic. Adm. 7mo.piso</t>
  </si>
  <si>
    <t>125-06</t>
  </si>
  <si>
    <t>40 x 50</t>
  </si>
  <si>
    <t>Polanco</t>
  </si>
  <si>
    <t xml:space="preserve">Guitarra </t>
  </si>
  <si>
    <t>Ofic. Presidencia del CNSS</t>
  </si>
  <si>
    <t>30 x 40</t>
  </si>
  <si>
    <t>Severo</t>
  </si>
  <si>
    <t>Marina</t>
  </si>
  <si>
    <t>Ubicación: Oficina 7mo. Piso</t>
  </si>
  <si>
    <t>Asistente GG</t>
  </si>
  <si>
    <t>24 x 30</t>
  </si>
  <si>
    <t>Guillo Pérez</t>
  </si>
  <si>
    <t>Bueyes</t>
  </si>
  <si>
    <t>Hugo Mata</t>
  </si>
  <si>
    <t>Paisaje</t>
  </si>
  <si>
    <t>Ubicación: Despacho del Presidente del CNSS</t>
  </si>
  <si>
    <t>24 X 30</t>
  </si>
  <si>
    <t>Ilonca</t>
  </si>
  <si>
    <t>Morena</t>
  </si>
  <si>
    <t>Ubicación: Archivo y correspondencia</t>
  </si>
  <si>
    <t>30 X 40</t>
  </si>
  <si>
    <t>Mary Bueno</t>
  </si>
  <si>
    <t>Mujer Jardín</t>
  </si>
  <si>
    <t>Jarrones</t>
  </si>
  <si>
    <t>Ubicación: Recepcion del 7mo. Piso</t>
  </si>
  <si>
    <t>Archivo oficina</t>
  </si>
  <si>
    <t>Ureña</t>
  </si>
  <si>
    <t>Franboyan</t>
  </si>
  <si>
    <t>Archivo ofic. Adm. 7mo. Piso</t>
  </si>
  <si>
    <t>Muzan Payán</t>
  </si>
  <si>
    <t>Palomas</t>
  </si>
  <si>
    <t>Ubicación: Asistente del Gerente General</t>
  </si>
  <si>
    <t>GG</t>
  </si>
  <si>
    <t>Serrat</t>
  </si>
  <si>
    <t>El regalo dos caras</t>
  </si>
  <si>
    <t>Dionisio Blanco</t>
  </si>
  <si>
    <t>Hombre de Campo</t>
  </si>
  <si>
    <t>Ubicación: Salon de Reuniones del CNSS</t>
  </si>
  <si>
    <t>Gerencia General</t>
  </si>
  <si>
    <t>40 X 50</t>
  </si>
  <si>
    <t>Ulloa</t>
  </si>
  <si>
    <t>Mujer Pensando</t>
  </si>
  <si>
    <t>Paniagua</t>
  </si>
  <si>
    <t>Bebe cuna</t>
  </si>
  <si>
    <t>Recepción 7mo. Piso</t>
  </si>
  <si>
    <t>Bonet Camps</t>
  </si>
  <si>
    <t>Morena con Cayenas</t>
  </si>
  <si>
    <t>Salón grande</t>
  </si>
  <si>
    <t>48 X 78</t>
  </si>
  <si>
    <t>Besaca</t>
  </si>
  <si>
    <t>Framboyán</t>
  </si>
  <si>
    <t>Lazala</t>
  </si>
  <si>
    <t>Coche</t>
  </si>
  <si>
    <t>Ubicación: Sub-Gerente General</t>
  </si>
  <si>
    <t>Ubicación: Asistente Juridico y Secr.del Gerente General</t>
  </si>
  <si>
    <t>Lestra</t>
  </si>
  <si>
    <t>Espanta Pajaros</t>
  </si>
  <si>
    <t>Salita espera 7mo. Piso</t>
  </si>
  <si>
    <t>Carlos Grullón</t>
  </si>
  <si>
    <t>Rio con Vacas</t>
  </si>
  <si>
    <t>Ubicación: Sala del CNSS</t>
  </si>
  <si>
    <t>Pasillo al lado salón B, 7mo.piso</t>
  </si>
  <si>
    <t>Peces</t>
  </si>
  <si>
    <t>Terrero</t>
  </si>
  <si>
    <t>Gorda</t>
  </si>
  <si>
    <t>Archivo Of. Adm 7mo piso</t>
  </si>
  <si>
    <t>Miguel Gomez</t>
  </si>
  <si>
    <t>Fiesta</t>
  </si>
  <si>
    <t>Ubicación: Pasillo del 7mo. Piso</t>
  </si>
  <si>
    <t>Marina - Lazala</t>
  </si>
  <si>
    <t>Salón de reuniones CNSS (al lado de legal)</t>
  </si>
  <si>
    <t>Cestero</t>
  </si>
  <si>
    <t xml:space="preserve">Catedral </t>
  </si>
  <si>
    <t>Ubicación: Salon Reuniones del CNSS</t>
  </si>
  <si>
    <t xml:space="preserve">Cheque </t>
  </si>
  <si>
    <t>Valor RD$</t>
  </si>
  <si>
    <t>Cuenta</t>
  </si>
  <si>
    <t>Tamaño</t>
  </si>
  <si>
    <t>Autor</t>
  </si>
  <si>
    <t>Inventario de Activos Fijos (Obras de Arte y Elementos Coleccionables)</t>
  </si>
  <si>
    <t>121-04</t>
  </si>
  <si>
    <t>A010010011500000590</t>
  </si>
  <si>
    <t>NCF</t>
  </si>
  <si>
    <t>Compu-Office Dom.</t>
  </si>
  <si>
    <t>PSPK1901717</t>
  </si>
  <si>
    <t>PROYECTOR EPSPON POWER LITE S12, 2800 LUMENS</t>
  </si>
  <si>
    <t>A030010011500005298</t>
  </si>
  <si>
    <t>CECOMSA</t>
  </si>
  <si>
    <t>CN14CBR11K</t>
  </si>
  <si>
    <t>Impresora HP officeJet PRO 8500A(CM755A)</t>
  </si>
  <si>
    <t>SCN08OBM0SB</t>
  </si>
  <si>
    <t>Impresora HP 8500 A+(CM756A)</t>
  </si>
  <si>
    <t>A010010011500000078</t>
  </si>
  <si>
    <t>Garecom, S.R.L</t>
  </si>
  <si>
    <t>VPCEG190X-LBOM</t>
  </si>
  <si>
    <t>Laptop SONY VAIO EA , intel Core 15, 2410M,  Processor with turbo Boost Up 2.90 GHZ, 4GB, DDR3-SDRAM-1333, 14" LED Backlight Display 320 GB Hard Drive, Genuine Windows 7 home Premiun</t>
  </si>
  <si>
    <t>A010010011500001079</t>
  </si>
  <si>
    <t>Unitec Dominicana</t>
  </si>
  <si>
    <t>Impresora HP OfficeJet PRO 8000  English/Spanish 110-220 V</t>
  </si>
  <si>
    <t>A010030031500025812</t>
  </si>
  <si>
    <t>UPS Tecnomaster EA200 1500 VA</t>
  </si>
  <si>
    <t>A010010011500000393</t>
  </si>
  <si>
    <t>HandHeld Motorola MC-70</t>
  </si>
  <si>
    <t>282P-201210-000</t>
  </si>
  <si>
    <t>Impresora de Etiquetas, marca Zebra 2824+</t>
  </si>
  <si>
    <t>60QB1/60QB2/60QB3/60QB7/60QBH/60AQBN/60QCV/60RKG/60RL6/70BZ8/70CJ5/70CJQ/70CTT/70D5Y/202H7</t>
  </si>
  <si>
    <t>Monitores  HP/Compaq Flat Panel de 18.5"</t>
  </si>
  <si>
    <t>A010010011500000957</t>
  </si>
  <si>
    <t>Computadora Portatil HP 4420S C/5/2.66 GHZ, 14", DVDR WLS BT W7P 64</t>
  </si>
  <si>
    <t>A010010011500000367</t>
  </si>
  <si>
    <t>Transmisor de Video Inhalambrico Imation LINK</t>
  </si>
  <si>
    <t>A010010011500000090</t>
  </si>
  <si>
    <t>GTI Sist. De Seg.</t>
  </si>
  <si>
    <t>Cisco Integrated Services Router,DSL Interface Card,2fxo Y ESTAP 4U 19" Wall Mount Brack(Rack Abierto)</t>
  </si>
  <si>
    <t>A030010011500004780</t>
  </si>
  <si>
    <t>G8AY505599</t>
  </si>
  <si>
    <t>Impresor Matricial EPSON LX-300+II</t>
  </si>
  <si>
    <t>A010030021500005694</t>
  </si>
  <si>
    <t>UPS Tecnomaster EA200 1000 VA</t>
  </si>
  <si>
    <t>A030010011500004684</t>
  </si>
  <si>
    <t>CB092A</t>
  </si>
  <si>
    <t>Impresor HP Officejet 8000 pro</t>
  </si>
  <si>
    <t>A01001001150000337</t>
  </si>
  <si>
    <t>Officeline, SRL</t>
  </si>
  <si>
    <t>Computadoras HP Compaq, Elite 8100-Core i3 540 3.06 GHz, Small form factor.  Dimensions (WxDxH) 13.3 in x 14.9 in x 3.9 in Weight 16.8 lbs.</t>
  </si>
  <si>
    <t>INVENTARIO CONTRALORIA</t>
  </si>
  <si>
    <t>12-035987</t>
  </si>
  <si>
    <t>Compu-Office Dominicana</t>
  </si>
  <si>
    <t>RR-US571</t>
  </si>
  <si>
    <t>Panasonic</t>
  </si>
  <si>
    <t>Grabadora digital  voice recorder de 2GB.</t>
  </si>
  <si>
    <t>Galaxia Computer, S.R.L.</t>
  </si>
  <si>
    <t>NCL230K90300509</t>
  </si>
  <si>
    <t>NC Computing L230, Software V Space, Puerto USB, entrada para microfono, entrada de altavoces. Puerto para teclado PS/2, Puerto para mouse PS/2, Base para monitor.</t>
  </si>
  <si>
    <t>NCL230K80300508</t>
  </si>
  <si>
    <t>NCL230K70300507</t>
  </si>
  <si>
    <t>NCL230K60300506</t>
  </si>
  <si>
    <t>NCL230K50300505</t>
  </si>
  <si>
    <t>NCL230K40300514</t>
  </si>
  <si>
    <t>NCL230K30300513</t>
  </si>
  <si>
    <t>NCL230K20300522</t>
  </si>
  <si>
    <t>NCL230K20300502</t>
  </si>
  <si>
    <t>NCL230K00300520</t>
  </si>
  <si>
    <t>NCL230K80300518</t>
  </si>
  <si>
    <t>NCL230K70300517</t>
  </si>
  <si>
    <t>NCL230K60300516</t>
  </si>
  <si>
    <t>NCL230K50300515</t>
  </si>
  <si>
    <t>NCL230K50300445</t>
  </si>
  <si>
    <t>NCL230K40300504</t>
  </si>
  <si>
    <t>NCL230K30300503</t>
  </si>
  <si>
    <t>NCL230K20300512</t>
  </si>
  <si>
    <t>NCL230K10300511</t>
  </si>
  <si>
    <t>NCL230K00300510</t>
  </si>
  <si>
    <t>Romaca, S.A</t>
  </si>
  <si>
    <t>4009Y50413</t>
  </si>
  <si>
    <t>UD.A/A Carrier Split de pared de 36,000 BTU 208/230V 1PH/60HZ compuesta por: Condesador MOD:38CKC036-X-3 Consola MOD40QNC036</t>
  </si>
  <si>
    <t>UD.A/A Carrier Split de pared de 18,000 BTU 208/230V 1PH/60HZ compuesta por : Condensador MOD:38LFC018 Consola MOD:42LFC01830</t>
  </si>
  <si>
    <t>Tecnomaster</t>
  </si>
  <si>
    <t>UPS  EA200 1500VA</t>
  </si>
  <si>
    <t>Cecomsa</t>
  </si>
  <si>
    <t>GH22LS50</t>
  </si>
  <si>
    <t>DVD Writer LG 22X LS BLK SATA</t>
  </si>
  <si>
    <t>FL Betances, S.A.</t>
  </si>
  <si>
    <t>Servidor Poweredge R610.</t>
  </si>
  <si>
    <t>Dell</t>
  </si>
  <si>
    <t>G-042</t>
  </si>
  <si>
    <t>Redes IP, S. A.</t>
  </si>
  <si>
    <t>Servicio Técnico Redes IP OnSite: Diseño, Instalación y Entrenamiento.</t>
  </si>
  <si>
    <t>PATCH CORD MULTIMODO DUPLEX LC-LC 10 METROS</t>
  </si>
  <si>
    <t>CON-SNT-3560GTS SMARTNET 8X5XNBD Cat 3560 24 10/100/1000T + 4 SFP St</t>
  </si>
  <si>
    <t>Cisco-SFP (mini-GBIC) transceiver module-1000Base-SX-plug-in module-up to 1800 ft-850nm</t>
  </si>
  <si>
    <t>G042</t>
  </si>
  <si>
    <t>Cisco Catalyst 3560G-24PS-Swich-24 ports-EN, Fast EN, Gigabit EN-10 Base-T, 100Base-TX, 1000Base-T+4xSFP (empty)-1U-PoE.</t>
  </si>
  <si>
    <t>07-034155</t>
  </si>
  <si>
    <t>Tarjeta de Red Gigabit 10/100/1000 Dlink (SFF)</t>
  </si>
  <si>
    <t>07-034154</t>
  </si>
  <si>
    <t>SMY98Q2407H</t>
  </si>
  <si>
    <t>HP Officejet</t>
  </si>
  <si>
    <t>Impresora  (IN) HP Officejet 80003 PRO (CB092A)</t>
  </si>
  <si>
    <t>Galaxia Computer, S. A.</t>
  </si>
  <si>
    <t>FCH1227917Z</t>
  </si>
  <si>
    <t>CISCO</t>
  </si>
  <si>
    <t>Teléfono CISCO IP Serie 7960</t>
  </si>
  <si>
    <t xml:space="preserve">Computadora portatil Mod. HP EliteBook Workstation 8730w </t>
  </si>
  <si>
    <t>Computadora  Mod. HP  DC5800 SFF  C2D/3.0 2GB  250GB  DVDR WVB-XPP, con su monitor HP L1710  17IN LCD MON US SBY</t>
  </si>
  <si>
    <t>Computadora Mod. HP  DC5800 SFF  C2D/3.0 2GB  250GB  DVDR WVB-XPP, con su monitor HP L1710  17IN LCD MON US SBY</t>
  </si>
  <si>
    <t>Computadora Mod.  HP  DC5800 SFF  C2D/3.0 2GB  250GB  DVDR WVB-XPP, con su monitor HP L1710  17IN LCD MON US SBY</t>
  </si>
  <si>
    <t>Computadora Mod.HP  DC5800 SFF  C2D/3.0 2GB  250GB  DVDR WVB-XPP, con su monitor HP L1710  17IN LCD MON US SBY</t>
  </si>
  <si>
    <t>Computadora  Mod.HP  DC5800 SFF  C2D/3.0 2GB  250GB  DVDR WVB-XPP, con su monitor HP L1710  17IN LCD MON US SBY</t>
  </si>
  <si>
    <t>Multicomputos</t>
  </si>
  <si>
    <t xml:space="preserve">Sun Storage TekTM SL24 Tape Autolader with 24slots, 1HPLTO3 HH drive and SCSI  interface.  Includes rack mounting  kit and SCSI terminator. RoHS-5   </t>
  </si>
  <si>
    <t>BY041L1</t>
  </si>
  <si>
    <t xml:space="preserve">Computadora (NE) Optiplex 760D  C2D/2.93GHZ/4GB/250GB/DVO/XP   (Black)   </t>
  </si>
  <si>
    <t>4Z041L1</t>
  </si>
  <si>
    <t>F1141L1</t>
  </si>
  <si>
    <t>42141L1</t>
  </si>
  <si>
    <t>1Z041L1</t>
  </si>
  <si>
    <t>CN0H329N7287298J287L</t>
  </si>
  <si>
    <t>Monitor Flat 19"  Mod. E190S  black</t>
  </si>
  <si>
    <t>CN0H329N7287298J28CL</t>
  </si>
  <si>
    <t>CN0H329N7287298M0PGL</t>
  </si>
  <si>
    <t>CN0H329N7287298J27EL</t>
  </si>
  <si>
    <t>CN0H329N7287298J206L</t>
  </si>
  <si>
    <t>10-027689</t>
  </si>
  <si>
    <t>Linksys Range Expander WRE54G</t>
  </si>
  <si>
    <t>124-04</t>
  </si>
  <si>
    <t>L5TF962615L</t>
  </si>
  <si>
    <t>Epson</t>
  </si>
  <si>
    <t>Proyector  Powerlite  S6+  2200LM</t>
  </si>
  <si>
    <t>Productive Business Solutions Dom., S.A.</t>
  </si>
  <si>
    <t>WTD068445</t>
  </si>
  <si>
    <t>Xerox</t>
  </si>
  <si>
    <t>Impresora Multifuncional WorkCentre 5645</t>
  </si>
  <si>
    <t>De León &amp; Asociados</t>
  </si>
  <si>
    <t>Copiadora  Mod.AL2030  20CPM</t>
  </si>
  <si>
    <t>Sharp</t>
  </si>
  <si>
    <t>2008DIC314</t>
  </si>
  <si>
    <t>E/D</t>
  </si>
  <si>
    <t>Abastos y Servicios</t>
  </si>
  <si>
    <t>Equipos de Computo</t>
  </si>
  <si>
    <t>Advantics</t>
  </si>
  <si>
    <t>P010010011500169137</t>
  </si>
  <si>
    <t>Centro de Soporte Tecn. Y Comunic.</t>
  </si>
  <si>
    <t>Omar Muebles</t>
  </si>
  <si>
    <t>k3</t>
  </si>
  <si>
    <t xml:space="preserve">Portateclado movil  para PC Gris </t>
  </si>
  <si>
    <t>Abastos y Servicios, C. Por A</t>
  </si>
  <si>
    <t>Base para proyector</t>
  </si>
  <si>
    <t>D-224</t>
  </si>
  <si>
    <t>Draper pantalla manual 60 x 80 diagonal</t>
  </si>
  <si>
    <t>D-223</t>
  </si>
  <si>
    <t>Ord. Com</t>
  </si>
  <si>
    <t>VPL-CX86</t>
  </si>
  <si>
    <t>Sony</t>
  </si>
  <si>
    <t>Proyector 3000</t>
  </si>
  <si>
    <t>D-222</t>
  </si>
  <si>
    <t>Pantalla electrica digital de 100"</t>
  </si>
  <si>
    <t>D-221</t>
  </si>
  <si>
    <t>Base de instalacion de techo p/proyector</t>
  </si>
  <si>
    <t>D-220</t>
  </si>
  <si>
    <t>0CN0WH318728727122H1i</t>
  </si>
  <si>
    <t>E177FP</t>
  </si>
  <si>
    <t>DELL</t>
  </si>
  <si>
    <t>Monitor 17 pulgadas</t>
  </si>
  <si>
    <t>D-219</t>
  </si>
  <si>
    <t>Dpto. Técnología</t>
  </si>
  <si>
    <t>011X6PC1</t>
  </si>
  <si>
    <t>320D</t>
  </si>
  <si>
    <t>CPU Optiplex</t>
  </si>
  <si>
    <t>D-218</t>
  </si>
  <si>
    <t>Oficina Universal, S.A.</t>
  </si>
  <si>
    <t>D2360</t>
  </si>
  <si>
    <t>HP</t>
  </si>
  <si>
    <t>Impresora deskjet</t>
  </si>
  <si>
    <t>D-217</t>
  </si>
  <si>
    <t>D-216</t>
  </si>
  <si>
    <t>D-215</t>
  </si>
  <si>
    <t>D-214</t>
  </si>
  <si>
    <t>745D</t>
  </si>
  <si>
    <t>D-213</t>
  </si>
  <si>
    <t>D-212</t>
  </si>
  <si>
    <t>D-211</t>
  </si>
  <si>
    <t>44 y 62</t>
  </si>
  <si>
    <t>DW632LA#ABM</t>
  </si>
  <si>
    <t>Tape Backup</t>
  </si>
  <si>
    <t>D-210</t>
  </si>
  <si>
    <t>Galaxia Computer, S.A.</t>
  </si>
  <si>
    <t>CN69VSR03M</t>
  </si>
  <si>
    <t>Scanner</t>
  </si>
  <si>
    <t>D-209</t>
  </si>
  <si>
    <t xml:space="preserve">Router </t>
  </si>
  <si>
    <t>D-208</t>
  </si>
  <si>
    <t>Logitech</t>
  </si>
  <si>
    <t>Mouse ergonomico</t>
  </si>
  <si>
    <t>D-207</t>
  </si>
  <si>
    <t>Teclado ergonomico</t>
  </si>
  <si>
    <t>D-206</t>
  </si>
  <si>
    <t>Ofic. Administrativa</t>
  </si>
  <si>
    <t>JSO505005557</t>
  </si>
  <si>
    <t>SMART-2200</t>
  </si>
  <si>
    <t>APC</t>
  </si>
  <si>
    <t>UPS</t>
  </si>
  <si>
    <t>D- 205</t>
  </si>
  <si>
    <t>CN-63NB50P2</t>
  </si>
  <si>
    <t>SDGOB-0601</t>
  </si>
  <si>
    <t>Impresora multifuncional</t>
  </si>
  <si>
    <t>D- 194</t>
  </si>
  <si>
    <t>CN-OWH318-72872-688-04HT</t>
  </si>
  <si>
    <t>Monitor pantalla plana de 17"</t>
  </si>
  <si>
    <t>D- 193</t>
  </si>
  <si>
    <t>SP-Q065</t>
  </si>
  <si>
    <t>Genius</t>
  </si>
  <si>
    <t>Dos bocinas color gris y negro</t>
  </si>
  <si>
    <t>D-186</t>
  </si>
  <si>
    <t>Recepción</t>
  </si>
  <si>
    <t>CN-095WUP-46633-366-3W88</t>
  </si>
  <si>
    <t>E551</t>
  </si>
  <si>
    <t>Monitor negro 14", color negro</t>
  </si>
  <si>
    <t>D-184</t>
  </si>
  <si>
    <t>CN-07N242-71616-38C-9275</t>
  </si>
  <si>
    <t>SK-8110</t>
  </si>
  <si>
    <t>Teclado</t>
  </si>
  <si>
    <t>D-183</t>
  </si>
  <si>
    <t>00045-440-030-744</t>
  </si>
  <si>
    <t>GX270</t>
  </si>
  <si>
    <t>CPU</t>
  </si>
  <si>
    <t>D-182</t>
  </si>
  <si>
    <t>CN-07G076-64180-3AA-0013T</t>
  </si>
  <si>
    <t>E551c</t>
  </si>
  <si>
    <t>D-180</t>
  </si>
  <si>
    <t>CNBDC53710</t>
  </si>
  <si>
    <t>02472A</t>
  </si>
  <si>
    <t>Impresora</t>
  </si>
  <si>
    <t>D-179</t>
  </si>
  <si>
    <t>AJQL54400430</t>
  </si>
  <si>
    <t>Gen200</t>
  </si>
  <si>
    <t>Infocus LP-640</t>
  </si>
  <si>
    <t>Proyector</t>
  </si>
  <si>
    <t>D- 204</t>
  </si>
  <si>
    <t>DQ5FF002850</t>
  </si>
  <si>
    <t>DMR-EH50</t>
  </si>
  <si>
    <t>Panasonc</t>
  </si>
  <si>
    <t>DVD</t>
  </si>
  <si>
    <t>D-203</t>
  </si>
  <si>
    <t>Almacén Villa Juana</t>
  </si>
  <si>
    <t>M010MF621W</t>
  </si>
  <si>
    <t>DL140</t>
  </si>
  <si>
    <t>Sucher ciscosystem</t>
  </si>
  <si>
    <t>D-171</t>
  </si>
  <si>
    <t>JMX0704YODW</t>
  </si>
  <si>
    <t>Cisco800</t>
  </si>
  <si>
    <t>Rauter</t>
  </si>
  <si>
    <t>D-170</t>
  </si>
  <si>
    <t>CN-ON1818-71623-3BT-0359</t>
  </si>
  <si>
    <t>Bocina un par</t>
  </si>
  <si>
    <t>D-169</t>
  </si>
  <si>
    <t xml:space="preserve">Bocina </t>
  </si>
  <si>
    <t>D-168</t>
  </si>
  <si>
    <t>CN33XS1OHJ</t>
  </si>
  <si>
    <t>GRLYB-0306</t>
  </si>
  <si>
    <t>Escaner</t>
  </si>
  <si>
    <t>D-167</t>
  </si>
  <si>
    <t>1D48Q41</t>
  </si>
  <si>
    <t>D-165</t>
  </si>
  <si>
    <t>V237KRBXA559</t>
  </si>
  <si>
    <t>EVO</t>
  </si>
  <si>
    <t>Compaq</t>
  </si>
  <si>
    <t>D-164</t>
  </si>
  <si>
    <t>BL4517234</t>
  </si>
  <si>
    <t>Teclado, color gris</t>
  </si>
  <si>
    <t>D-158</t>
  </si>
  <si>
    <t>B142AOHGAK4001</t>
  </si>
  <si>
    <t>KB-3926</t>
  </si>
  <si>
    <t>Teclado, color crema</t>
  </si>
  <si>
    <t>D-157</t>
  </si>
  <si>
    <t>BE20524852</t>
  </si>
  <si>
    <t>D-156</t>
  </si>
  <si>
    <t>SC0150015863</t>
  </si>
  <si>
    <t>SK-2560</t>
  </si>
  <si>
    <t>D-155</t>
  </si>
  <si>
    <t>SCO150025963</t>
  </si>
  <si>
    <t>D-154</t>
  </si>
  <si>
    <t>B28980LGAMA16G</t>
  </si>
  <si>
    <t>KB-9963</t>
  </si>
  <si>
    <t>Teclado, color Negro</t>
  </si>
  <si>
    <t>D-152</t>
  </si>
  <si>
    <t>SC0145025670</t>
  </si>
  <si>
    <t>D-151</t>
  </si>
  <si>
    <t>TH-04N454-37171-2AA-1951</t>
  </si>
  <si>
    <t>RT7D20</t>
  </si>
  <si>
    <t>Teclado, color negro</t>
  </si>
  <si>
    <t>D-144</t>
  </si>
  <si>
    <t>Dpto. Legal</t>
  </si>
  <si>
    <t>0045-465-712-651</t>
  </si>
  <si>
    <t>CPU Pavilon</t>
  </si>
  <si>
    <t>D-142</t>
  </si>
  <si>
    <t>CN-09C487-38840-1CG-F860</t>
  </si>
  <si>
    <t>SK-8100</t>
  </si>
  <si>
    <t>D-139</t>
  </si>
  <si>
    <t>Sótano /Seguridad</t>
  </si>
  <si>
    <t>MX21992202</t>
  </si>
  <si>
    <t>551W</t>
  </si>
  <si>
    <t>CPU Pavilon, color gris</t>
  </si>
  <si>
    <t>D-130</t>
  </si>
  <si>
    <t>B28980LGAMA16N</t>
  </si>
  <si>
    <t>D-123</t>
  </si>
  <si>
    <t>Bosina un par</t>
  </si>
  <si>
    <t>D-120</t>
  </si>
  <si>
    <t>CN-ON1818-71623-3UB-2506</t>
  </si>
  <si>
    <t xml:space="preserve">Bosina </t>
  </si>
  <si>
    <t>D-119</t>
  </si>
  <si>
    <t>0045-480-113-921</t>
  </si>
  <si>
    <t>CPU pavilon, color negro</t>
  </si>
  <si>
    <t>D-117</t>
  </si>
  <si>
    <t>Kinyo</t>
  </si>
  <si>
    <t>Bosina</t>
  </si>
  <si>
    <t>D-115</t>
  </si>
  <si>
    <t>Proenergía, C. por A.</t>
  </si>
  <si>
    <t>MXRO811429</t>
  </si>
  <si>
    <t>Teclado, color gris.</t>
  </si>
  <si>
    <t>D-114</t>
  </si>
  <si>
    <t>L393N66</t>
  </si>
  <si>
    <t>THINKPAD</t>
  </si>
  <si>
    <t>IBM</t>
  </si>
  <si>
    <t>Salón de reuniones  (al lado de legal)</t>
  </si>
  <si>
    <t>AALN31190145</t>
  </si>
  <si>
    <t>LP500</t>
  </si>
  <si>
    <t>INFOCUS</t>
  </si>
  <si>
    <t>D-111</t>
  </si>
  <si>
    <t>0210000004033ANN</t>
  </si>
  <si>
    <t>DP500N1</t>
  </si>
  <si>
    <t>OMEGA</t>
  </si>
  <si>
    <t>D-110</t>
  </si>
  <si>
    <t>Oficina Universal, S. A.</t>
  </si>
  <si>
    <t>CN4ACC514Q</t>
  </si>
  <si>
    <t>Impresora Officejet</t>
  </si>
  <si>
    <t>D-109</t>
  </si>
  <si>
    <t>CN-PN1818-71623-3BT-0371</t>
  </si>
  <si>
    <t>D-108</t>
  </si>
  <si>
    <t>Bosinas un par</t>
  </si>
  <si>
    <t>D-107</t>
  </si>
  <si>
    <t>TH-07N124-37171-41J-3616</t>
  </si>
  <si>
    <t>Teclado, negro.</t>
  </si>
  <si>
    <t>D-106</t>
  </si>
  <si>
    <t>JB0310013092</t>
  </si>
  <si>
    <t>D-103</t>
  </si>
  <si>
    <t>CN-ON1818-71623-3BU-2120</t>
  </si>
  <si>
    <t>D-102</t>
  </si>
  <si>
    <t>D-101</t>
  </si>
  <si>
    <t>MY3401M2Q7</t>
  </si>
  <si>
    <t>D-100</t>
  </si>
  <si>
    <t>TH-07N124-37171-41H-4961</t>
  </si>
  <si>
    <t>D-099</t>
  </si>
  <si>
    <t>0045-480-113-922</t>
  </si>
  <si>
    <t>GX 270</t>
  </si>
  <si>
    <t>CPU, optiplex</t>
  </si>
  <si>
    <t>D-098</t>
  </si>
  <si>
    <t>P21043706849</t>
  </si>
  <si>
    <t>VS10057</t>
  </si>
  <si>
    <t>View Sonic</t>
  </si>
  <si>
    <t>Monitor Policromatico 14", color negro</t>
  </si>
  <si>
    <t>D-097</t>
  </si>
  <si>
    <t>Polk audio</t>
  </si>
  <si>
    <t>Bosinas</t>
  </si>
  <si>
    <t>D-096</t>
  </si>
  <si>
    <t>00045-480-113-936</t>
  </si>
  <si>
    <t>CPU, Optiplex</t>
  </si>
  <si>
    <t>D-091</t>
  </si>
  <si>
    <t>CN-6691K3RK</t>
  </si>
  <si>
    <t>Q8130A</t>
  </si>
  <si>
    <t>D- 200</t>
  </si>
  <si>
    <t>Bocina</t>
  </si>
  <si>
    <t>D-089</t>
  </si>
  <si>
    <t>CN-0N1818-71623-3BU-2141</t>
  </si>
  <si>
    <t>D-088</t>
  </si>
  <si>
    <t>CN-0J4628-71616-4AN-0YVP</t>
  </si>
  <si>
    <t>SK-8115</t>
  </si>
  <si>
    <t>Teclado, color negro.</t>
  </si>
  <si>
    <t>D-087</t>
  </si>
  <si>
    <t>MY-OY1352-47603-4AJ-FGWA</t>
  </si>
  <si>
    <t>E773s</t>
  </si>
  <si>
    <t>Monitor Policromatico 17", color negro.</t>
  </si>
  <si>
    <t>D-084</t>
  </si>
  <si>
    <t>CN-0J4624-37172-49T-03L4</t>
  </si>
  <si>
    <t>RT7D50</t>
  </si>
  <si>
    <t>D-080</t>
  </si>
  <si>
    <t>CN-OWH318-72872-67Q-04MV</t>
  </si>
  <si>
    <t>D- 198</t>
  </si>
  <si>
    <t>D- 197</t>
  </si>
  <si>
    <t>D- 196</t>
  </si>
  <si>
    <t>D- 195</t>
  </si>
  <si>
    <t>CWJ0171015K</t>
  </si>
  <si>
    <t>EMP-50</t>
  </si>
  <si>
    <t>LCD Projector</t>
  </si>
  <si>
    <t>D-075</t>
  </si>
  <si>
    <t>Y4462217K</t>
  </si>
  <si>
    <t>A70-SP249</t>
  </si>
  <si>
    <t>Toshiba</t>
  </si>
  <si>
    <t>Lapto</t>
  </si>
  <si>
    <t>D-074</t>
  </si>
  <si>
    <t>TH-07N124-37171-41H-4957</t>
  </si>
  <si>
    <t>D-073</t>
  </si>
  <si>
    <t>00045-493-693-727</t>
  </si>
  <si>
    <t>CPU,Optiplex.</t>
  </si>
  <si>
    <t>D-072</t>
  </si>
  <si>
    <t>Ps-220</t>
  </si>
  <si>
    <t>D-070</t>
  </si>
  <si>
    <t>D-069</t>
  </si>
  <si>
    <t>13c910BCP1NUDR</t>
  </si>
  <si>
    <t>SK-2800c</t>
  </si>
  <si>
    <t>Teclado, color crema.</t>
  </si>
  <si>
    <t>D-068</t>
  </si>
  <si>
    <t>Comisión Regional O</t>
  </si>
  <si>
    <t>DRKGP21</t>
  </si>
  <si>
    <t>GX260</t>
  </si>
  <si>
    <t>CPU, Optiplex.</t>
  </si>
  <si>
    <t>D-064</t>
  </si>
  <si>
    <t>B13AAOT39155B13</t>
  </si>
  <si>
    <t>D-062</t>
  </si>
  <si>
    <t>SG2B4511CR</t>
  </si>
  <si>
    <t>C8108A</t>
  </si>
  <si>
    <t>Impresora Inkjet 1700 Color</t>
  </si>
  <si>
    <t>D-057</t>
  </si>
  <si>
    <t>CN-07N242-71616-38C-9Z</t>
  </si>
  <si>
    <t>D-056</t>
  </si>
  <si>
    <t>00045-465-712-666</t>
  </si>
  <si>
    <t>GX-270</t>
  </si>
  <si>
    <t>D-055</t>
  </si>
  <si>
    <t>MY-095WVP-46632-19J-90J-90RX</t>
  </si>
  <si>
    <t>E-551</t>
  </si>
  <si>
    <t>D-054</t>
  </si>
  <si>
    <t>CN-035KKW-38844-06D-7654</t>
  </si>
  <si>
    <t>SK-8000</t>
  </si>
  <si>
    <t>D-053</t>
  </si>
  <si>
    <t>Seguridad</t>
  </si>
  <si>
    <t>14213M28HC508</t>
  </si>
  <si>
    <t>V570</t>
  </si>
  <si>
    <t>D-051</t>
  </si>
  <si>
    <t>CN-07N242-71616-42E-0CE0</t>
  </si>
  <si>
    <t>D-050</t>
  </si>
  <si>
    <t>DK04431</t>
  </si>
  <si>
    <t>DHS</t>
  </si>
  <si>
    <t>D-049</t>
  </si>
  <si>
    <t>6Y1AKGMZ-5005</t>
  </si>
  <si>
    <t>3110GL-B4W-1554</t>
  </si>
  <si>
    <t>CPU, Evo</t>
  </si>
  <si>
    <t>D-044</t>
  </si>
  <si>
    <t xml:space="preserve">Dpto. legal </t>
  </si>
  <si>
    <t>CN-OWH318-72872-67P-OK5S</t>
  </si>
  <si>
    <t>D- 199</t>
  </si>
  <si>
    <t>00045-440-030-633</t>
  </si>
  <si>
    <t>CPU, Pentium.</t>
  </si>
  <si>
    <t>D-040</t>
  </si>
  <si>
    <t>CN-095WVP-46633-36L-4778</t>
  </si>
  <si>
    <t>Monitor, Policromatico 14",color negro</t>
  </si>
  <si>
    <t>D-039</t>
  </si>
  <si>
    <t>3882B424</t>
  </si>
  <si>
    <t>D-033</t>
  </si>
  <si>
    <t>00045-446-240-166</t>
  </si>
  <si>
    <t>D-032</t>
  </si>
  <si>
    <t>122659-168-164996-161</t>
  </si>
  <si>
    <t>SK-2860</t>
  </si>
  <si>
    <t>D-029</t>
  </si>
  <si>
    <t>C0304060597</t>
  </si>
  <si>
    <t>SK-1688</t>
  </si>
  <si>
    <t>D-026</t>
  </si>
  <si>
    <t>Para asignar a la  C.M</t>
  </si>
  <si>
    <t>CN-OCC639-72872-63E-23UT</t>
  </si>
  <si>
    <t>Monitor  Pantalla plana 17"</t>
  </si>
  <si>
    <t>D- 201</t>
  </si>
  <si>
    <t>KX-TA616BX</t>
  </si>
  <si>
    <t>Central Telefonica</t>
  </si>
  <si>
    <t>D- 191</t>
  </si>
  <si>
    <t>5185-1596-BE14336998</t>
  </si>
  <si>
    <t>D-023</t>
  </si>
  <si>
    <t>Sótano (Serv. Generales)</t>
  </si>
  <si>
    <t>CN-FB657013</t>
  </si>
  <si>
    <t>BOI5B-020700</t>
  </si>
  <si>
    <t>Printer Laser Jet 1012</t>
  </si>
  <si>
    <t>D-020</t>
  </si>
  <si>
    <t>CDUY129672</t>
  </si>
  <si>
    <t>P170A</t>
  </si>
  <si>
    <t>Printer LX-300+</t>
  </si>
  <si>
    <t>D-019</t>
  </si>
  <si>
    <t>Contabilidad</t>
  </si>
  <si>
    <t>Computadoras Popular, S. A.</t>
  </si>
  <si>
    <t>ETUY056099</t>
  </si>
  <si>
    <t>D-018</t>
  </si>
  <si>
    <t>CN-07N242-71616-386-A447</t>
  </si>
  <si>
    <t>D-017</t>
  </si>
  <si>
    <t xml:space="preserve">FTM1241  </t>
  </si>
  <si>
    <t>CPU, Optiplex, color negro.</t>
  </si>
  <si>
    <t>D-016</t>
  </si>
  <si>
    <t>3892C869</t>
  </si>
  <si>
    <t>SK2560</t>
  </si>
  <si>
    <t>Teclado Internet color gris.</t>
  </si>
  <si>
    <t>D-014</t>
  </si>
  <si>
    <t>TH-04N454-37171-2AG-A387</t>
  </si>
  <si>
    <t xml:space="preserve">D/SN </t>
  </si>
  <si>
    <t>D-013</t>
  </si>
  <si>
    <t>Ofic.Adm. 7mo. Piso</t>
  </si>
  <si>
    <t>DL 90921</t>
  </si>
  <si>
    <t>D-012</t>
  </si>
  <si>
    <t>Un par de bocinas</t>
  </si>
  <si>
    <t>D-011</t>
  </si>
  <si>
    <t>MX22890383</t>
  </si>
  <si>
    <t>P7519AR</t>
  </si>
  <si>
    <t>CPU, Pavilion 551w.</t>
  </si>
  <si>
    <t>D-010</t>
  </si>
  <si>
    <t xml:space="preserve">Un par de bocinas </t>
  </si>
  <si>
    <t>D-008</t>
  </si>
  <si>
    <t>CN-041454-37172-44J-0880</t>
  </si>
  <si>
    <t>D-007</t>
  </si>
  <si>
    <t>Gerencia Técnica</t>
  </si>
  <si>
    <t>JCH0921</t>
  </si>
  <si>
    <t>D-006</t>
  </si>
  <si>
    <t>HZ8GP21</t>
  </si>
  <si>
    <t>D-002</t>
  </si>
  <si>
    <t>Cantidad de Meses</t>
  </si>
  <si>
    <t>Inventario de Activos Fijos (Equipos de Computación)</t>
  </si>
  <si>
    <t>121-07</t>
  </si>
  <si>
    <t>A040030021500003544</t>
  </si>
  <si>
    <t>Centro Cuesta</t>
  </si>
  <si>
    <t>MICROONDAS PANASONIC</t>
  </si>
  <si>
    <t>A010010011500000831</t>
  </si>
  <si>
    <t>B &amp; H Mobiliario</t>
  </si>
  <si>
    <t>Modulo metalico leader, con ruedas, c/aluminio, 2 Gav. Archivo con llave.</t>
  </si>
  <si>
    <t>Lateral de un paral, pata c/aluminio, tope c/haya de 2.5x50x100 cms</t>
  </si>
  <si>
    <t>Escritorio Mod. ZK en metal c/aluminio tope melamina haya, de 70x120 cms</t>
  </si>
  <si>
    <t>A010010011500000827</t>
  </si>
  <si>
    <t>Meca Electric Industrial</t>
  </si>
  <si>
    <t>Aire Acondicionado</t>
  </si>
  <si>
    <t>A010010021500003645</t>
  </si>
  <si>
    <t>Omar</t>
  </si>
  <si>
    <t>Archivo Modular Importado de 3gav.</t>
  </si>
  <si>
    <t>Sillón Ejecutivo marca Verdi, Re. 22194</t>
  </si>
  <si>
    <t>A040030021500003427</t>
  </si>
  <si>
    <t>Mesa para impresora Subgerente</t>
  </si>
  <si>
    <t>A040030021500003415</t>
  </si>
  <si>
    <t>Mesa para impresora 7mo piso</t>
  </si>
  <si>
    <t>A070010021500003056</t>
  </si>
  <si>
    <t>Licuadora Oster</t>
  </si>
  <si>
    <t xml:space="preserve">Tostadora </t>
  </si>
  <si>
    <t>A010010010100000043</t>
  </si>
  <si>
    <t>Buiteco</t>
  </si>
  <si>
    <t>A010110161501000011</t>
  </si>
  <si>
    <t>F. Americana</t>
  </si>
  <si>
    <t>Nevera Kenmore Blanca 18' 46-62972</t>
  </si>
  <si>
    <t>A010030021500005693</t>
  </si>
  <si>
    <t>W/WRDWN123MBJW</t>
  </si>
  <si>
    <t>Nevera Ejecutiva WW</t>
  </si>
  <si>
    <t>A010010011500010169</t>
  </si>
  <si>
    <t>Distribuidora Corripio</t>
  </si>
  <si>
    <t>C101058150208806100182</t>
  </si>
  <si>
    <t>Deshumificador Nedoca</t>
  </si>
  <si>
    <t>A070010021500002628</t>
  </si>
  <si>
    <t>centro Cuesta Nacional</t>
  </si>
  <si>
    <t>Horno Microondas</t>
  </si>
  <si>
    <t>A010010011500000750</t>
  </si>
  <si>
    <t>Mobiliario</t>
  </si>
  <si>
    <t>Credenza Enchapado en Madera c/Caoba, de 0.450x1.80mt</t>
  </si>
  <si>
    <t>Modulo Enchapado en Madera de Caoba, 3 Gav,con llavin</t>
  </si>
  <si>
    <t>Lateral Enchapado en Madera de Caoba, patas tubular,0.5x1.0m</t>
  </si>
  <si>
    <t>Escritorio Enchapado en Madera de Caoba, de 1.0 x 2.0m</t>
  </si>
  <si>
    <t>A010010011500000746</t>
  </si>
  <si>
    <t>Locker Metálico, 4 puertas, 24"x20"x72" para ropa colgada, color Gris.</t>
  </si>
  <si>
    <t>Sillón Gerencial Tela Azul Marino,Sist.Reclinable,Importado</t>
  </si>
  <si>
    <t>Modulo metalico con Ruedas, C/Aluminio, 3 Gav. C/Llave.</t>
  </si>
  <si>
    <t>Escritorio en Metal c/Aluminio, Tope Melamina c/Haya de 28"x55"</t>
  </si>
  <si>
    <t>A010010021500003210</t>
  </si>
  <si>
    <t>M. Omar</t>
  </si>
  <si>
    <t>Sillón Gerencial Tela Azul con Brazos ajustables Victoria</t>
  </si>
  <si>
    <t>A010010011500000743</t>
  </si>
  <si>
    <t>Archivos laterales metálicos Master, 4 gavetas, de 52" alto x 36" ancho x 19" de fondo, color gris</t>
  </si>
  <si>
    <t>Butacas de visita,  Mod. Vicenza, en tela, estructura de metal c/aluminio.</t>
  </si>
  <si>
    <t>Equipos y Mobiliarios de Oficina CONTRALORIA</t>
  </si>
  <si>
    <t>Actualidades VD, S. A.</t>
  </si>
  <si>
    <t>Armario con puerta tipo persiana, pana, visión crema 72 import.</t>
  </si>
  <si>
    <t>303-031000361</t>
  </si>
  <si>
    <t>Centro Cuesta Nacional</t>
  </si>
  <si>
    <t>Abanico de pedestal, marca Daiwa</t>
  </si>
  <si>
    <t>303-021000136</t>
  </si>
  <si>
    <t>Teléfono  mod. INAL KX-TG3612LAB, Ref. 3177608</t>
  </si>
  <si>
    <t>Romaca, S. A.</t>
  </si>
  <si>
    <t>UD. A/A Carrier Split de pared  de 12,000 BTU  208/230V  1PH/60HZ, compuesta por:  Consola mod. 42LFC01230 y Condensador mod. 38LFC01236</t>
  </si>
  <si>
    <t>UD. A/A Carrier Split de pared  de 12,000 BTU  208/230V  1PH/60HZ, compuesta por:  Consola mod. 42LFC01230 y Condensador mod. 38LFC01235</t>
  </si>
  <si>
    <t>UD. A/A Carrier Split de pared  de 12,000 BTU  208/230V  1PH/60HZ, compuesta por:  Consola mod. 42LFC01230 y Condensador mod. 38LFC01234</t>
  </si>
  <si>
    <t>UD. A/A Carrier Split de pared  de 12,000 BTU  208/230V  1PH/60HZ, compuesta por:  Consola mod. 42LFC01230 y Condensador mod. 38LFC01233</t>
  </si>
  <si>
    <t>UD. A/A Carrier Split de pared  de 12,000 BTU  208/230V  1PH/60HZ, compuesta por:  Consola mod. 42LFC01230 y Condensador mod. 38LFC01232</t>
  </si>
  <si>
    <t>UD. A/A Carrier Split de pared  de 12,000 BTU  208/230V  1PH/60HZ, compuesta por:  Consola mod. 42LFC01230 y Condensador mod. 38LFC01231</t>
  </si>
  <si>
    <t>UD. A/A Carrier Split de pared  de 12,000 BTU  208/230V  1PH/60HZ, compuesta por:  Consola mod. 42LFC01230 y Condensador mod. 38LFC01230</t>
  </si>
  <si>
    <t>Mobiliario, S.A.</t>
  </si>
  <si>
    <t>Lateral de un paral tubo metal c/alumninio, tope  c/haya, 18" x 40"</t>
  </si>
  <si>
    <t>Módulo metálico con ruedas, 3 gavetas, color aluminio.</t>
  </si>
  <si>
    <t>Escritorio mod. ZK-120, en metal c/aluminio, tope melamina c/haya  de 28" x 48"</t>
  </si>
  <si>
    <t>Escritorio Model ZK-160, en metal c/aluminio, tope melamina c/haya de 28" x 63"</t>
  </si>
  <si>
    <t>06-027462</t>
  </si>
  <si>
    <t>Medidor de cableado Tester Kit Back Box LAN Solution Network</t>
  </si>
  <si>
    <t>Productive Business Solutions</t>
  </si>
  <si>
    <t>MAC581348</t>
  </si>
  <si>
    <t>Impresora Multifuncional, mod. WC 4250, 45 PPM</t>
  </si>
  <si>
    <t>Mobiliario, S. A.</t>
  </si>
  <si>
    <t>Sillón ejecutivo, mod. SE-ME01, en tela, sistema reclinable, importado., color negro.</t>
  </si>
  <si>
    <t>Estante con puertas baja mod. 2000, en melamina c/haya, de 16" x 36" x 60".</t>
  </si>
  <si>
    <t>Silla secretarial Mod. SS-NJ90, en tela, sist. Neum. Giratorio, color negro</t>
  </si>
  <si>
    <t>Escritorio Mod. ZK-100 en metal c/aluminio, tope cristal de 18" x 40</t>
  </si>
  <si>
    <t>M/47LG30R-MA</t>
  </si>
  <si>
    <t>LG</t>
  </si>
  <si>
    <t>Televisor LCD 47"</t>
  </si>
  <si>
    <t>03-04/991578</t>
  </si>
  <si>
    <t>Ferreteria Americana</t>
  </si>
  <si>
    <t>LC32A28L</t>
  </si>
  <si>
    <t>Televisor LCD 32"</t>
  </si>
  <si>
    <t>Muebles Omar</t>
  </si>
  <si>
    <t>Set  Prisma de cuatro (4) personas plástico azul, estructura plateada con largo de 84".</t>
  </si>
  <si>
    <t>KDK</t>
  </si>
  <si>
    <t>Abanico Techo Mod. M/B56X5 56 C56XL</t>
  </si>
  <si>
    <t>Reclasificacion cheque 12065</t>
  </si>
  <si>
    <t>Reclasificacion cheque 12120</t>
  </si>
  <si>
    <t>Mobiliario S.A.</t>
  </si>
  <si>
    <t>Sillon Gerencil Mod.  SG-367, en malla, fondo pvc</t>
  </si>
  <si>
    <t>G-830</t>
  </si>
  <si>
    <t>G-829</t>
  </si>
  <si>
    <t>G-828</t>
  </si>
  <si>
    <t>G-827</t>
  </si>
  <si>
    <t>G-826</t>
  </si>
  <si>
    <t>G-825</t>
  </si>
  <si>
    <t>G-824</t>
  </si>
  <si>
    <t>G-823</t>
  </si>
  <si>
    <t>G-822</t>
  </si>
  <si>
    <t>G-821</t>
  </si>
  <si>
    <t>G-820</t>
  </si>
  <si>
    <t>G-819</t>
  </si>
  <si>
    <t>G-818</t>
  </si>
  <si>
    <t>G-817</t>
  </si>
  <si>
    <t>G-816</t>
  </si>
  <si>
    <t>Sillon Gerencial Mod. SG-098,aluminio y piel negra</t>
  </si>
  <si>
    <t>G-815</t>
  </si>
  <si>
    <t>G-814</t>
  </si>
  <si>
    <t>G-813</t>
  </si>
  <si>
    <t>G-812</t>
  </si>
  <si>
    <t>Sillon Gerencial Mod. SG-068 en tela negra</t>
  </si>
  <si>
    <t>G-811</t>
  </si>
  <si>
    <t>G-810</t>
  </si>
  <si>
    <t>G-809</t>
  </si>
  <si>
    <t>G-808</t>
  </si>
  <si>
    <t>G-807</t>
  </si>
  <si>
    <t>G-806</t>
  </si>
  <si>
    <t>G-805</t>
  </si>
  <si>
    <t>G-804</t>
  </si>
  <si>
    <t>G-803</t>
  </si>
  <si>
    <t>G-802</t>
  </si>
  <si>
    <t>G-801</t>
  </si>
  <si>
    <t>G-800</t>
  </si>
  <si>
    <t>G-799</t>
  </si>
  <si>
    <t>G-798</t>
  </si>
  <si>
    <t>G-797</t>
  </si>
  <si>
    <t>G-796</t>
  </si>
  <si>
    <t>G-795</t>
  </si>
  <si>
    <t>G-794</t>
  </si>
  <si>
    <t>G-793</t>
  </si>
  <si>
    <t>Sillon Ejecutivo, Fulkun 069,est. Negra en telaT</t>
  </si>
  <si>
    <t>G-792</t>
  </si>
  <si>
    <t>G-791</t>
  </si>
  <si>
    <t>G-790</t>
  </si>
  <si>
    <t>o/c</t>
  </si>
  <si>
    <t>Sillon  Gerencial Mod. Fulkun 078, aluminio y piel neg.</t>
  </si>
  <si>
    <t>G-789</t>
  </si>
  <si>
    <t>SKAGEN (MEYCY)</t>
  </si>
  <si>
    <t>MEYCY</t>
  </si>
  <si>
    <t>Sillon  Ejecutivo ,tapizado en piel y base de aluminio</t>
  </si>
  <si>
    <t>G-788</t>
  </si>
  <si>
    <t>REFRICENTRO LOS PRADOS</t>
  </si>
  <si>
    <t>20 codos de 3/4 x 90"</t>
  </si>
  <si>
    <t>G-787</t>
  </si>
  <si>
    <t>70 pies de alambre 1414</t>
  </si>
  <si>
    <t>G-786</t>
  </si>
  <si>
    <t>Gree Flow</t>
  </si>
  <si>
    <t>LENNOX</t>
  </si>
  <si>
    <t>Unidad acondicionador de aire de 2 toneladas de 24 mil BTU</t>
  </si>
  <si>
    <t>G-785</t>
  </si>
  <si>
    <t>60 pies de alambre control</t>
  </si>
  <si>
    <t>G-784</t>
  </si>
  <si>
    <t>60 pies de tubo de 3/4 Flex</t>
  </si>
  <si>
    <t>G-783</t>
  </si>
  <si>
    <t>MAPP Gas</t>
  </si>
  <si>
    <t>G-782</t>
  </si>
  <si>
    <t>G-781</t>
  </si>
  <si>
    <t>Filtro ADR 1635</t>
  </si>
  <si>
    <t>G-780</t>
  </si>
  <si>
    <t>G-779</t>
  </si>
  <si>
    <t>60 pies de tubo de 3/8 Flex</t>
  </si>
  <si>
    <t>G-778</t>
  </si>
  <si>
    <t>Unidad acondicionador de aire de 3 toneladas de 36mil BTU</t>
  </si>
  <si>
    <t>G-777</t>
  </si>
  <si>
    <t>Vasconcel 3/4 x3/8</t>
  </si>
  <si>
    <t>G-776</t>
  </si>
  <si>
    <t>2 Libras de varillas de plata</t>
  </si>
  <si>
    <t>G-775</t>
  </si>
  <si>
    <t>Servicio de Instalacion,incluyendo 2 bases en angulares</t>
  </si>
  <si>
    <t>G-774</t>
  </si>
  <si>
    <t>121-10</t>
  </si>
  <si>
    <t>Lave, S.A.</t>
  </si>
  <si>
    <t>Avance para la compra de Modulares para las oficinas del 6to piso</t>
  </si>
  <si>
    <t>G-773</t>
  </si>
  <si>
    <t>Empresa Suara</t>
  </si>
  <si>
    <t>Cortina de aluminio Perforado tamanos 44x50/42x50/61x50/60x50x48/57</t>
  </si>
  <si>
    <t>G-772</t>
  </si>
  <si>
    <t>Cortina de aluminio Perforado tamanos 44x50/42x50/61x50/60x50x48/56</t>
  </si>
  <si>
    <t>G-771</t>
  </si>
  <si>
    <t>Cortina de aluminio Perforado tamanos 44x50/42x50/61x50/60x50x48/55</t>
  </si>
  <si>
    <t>G-770</t>
  </si>
  <si>
    <t>Cortina de aluminio Perforado tamanos 44x50/42x50/61x50/60x50x48/54</t>
  </si>
  <si>
    <t>G-769</t>
  </si>
  <si>
    <t>Cortina de aluminio Perforado tamanos 44x50/42x50/61x50/60x50x48/53</t>
  </si>
  <si>
    <t>G-768</t>
  </si>
  <si>
    <t>Cortina de aluminio Perforado tamanos 44x50/42x50/61x50/60x50x48/52</t>
  </si>
  <si>
    <t>G-767</t>
  </si>
  <si>
    <t>Molina &amp; Compañía, C.por A.</t>
  </si>
  <si>
    <t>Avanti</t>
  </si>
  <si>
    <t>Nevera de Acero inoxidable, de 4,5 Cubico</t>
  </si>
  <si>
    <t>G-766</t>
  </si>
  <si>
    <t>Sillas Secretarial Mod. Trans. Sist. Contacto permanente,importada</t>
  </si>
  <si>
    <t>G-765</t>
  </si>
  <si>
    <t>G-764</t>
  </si>
  <si>
    <t>G-763</t>
  </si>
  <si>
    <t>G-762</t>
  </si>
  <si>
    <t>G-761</t>
  </si>
  <si>
    <t>Mueble de recepción Mod.DF01,cuerpo de metalc/aluminio,topes haya,43" x 71</t>
  </si>
  <si>
    <t>G-760</t>
  </si>
  <si>
    <t>Cod. BV327</t>
  </si>
  <si>
    <t>Butaca de visitas ,tela,base fija, importada,color azul</t>
  </si>
  <si>
    <t>G-759</t>
  </si>
  <si>
    <t>G-758</t>
  </si>
  <si>
    <t>G-757</t>
  </si>
  <si>
    <t>Cod.BV327</t>
  </si>
  <si>
    <t>G-756</t>
  </si>
  <si>
    <t>Cod. TM120 DM</t>
  </si>
  <si>
    <t>Tope Circular de melamina,de 120 x 2,5cms,color caoba (Jn-025)</t>
  </si>
  <si>
    <t>G-755</t>
  </si>
  <si>
    <t>Cod. BMC024 A</t>
  </si>
  <si>
    <t>Basse de 4 apoyos para mesa de conferencia metal/aluminio</t>
  </si>
  <si>
    <t>G-754</t>
  </si>
  <si>
    <t>Cod. MCS220 CN</t>
  </si>
  <si>
    <t>Mesa de Conferencia Mod. Space, Melamina Caoba y negra de 40"X 86"</t>
  </si>
  <si>
    <t>G-753</t>
  </si>
  <si>
    <t>J.R. Diseños (Roica)</t>
  </si>
  <si>
    <t>Rubber Wood</t>
  </si>
  <si>
    <t>Pies de Tope de marmolite</t>
  </si>
  <si>
    <t>G-752</t>
  </si>
  <si>
    <t>Juego de Gabinetes modular,con tope de Granito</t>
  </si>
  <si>
    <t>G-751</t>
  </si>
  <si>
    <t>Digital T. V. C. por A.</t>
  </si>
  <si>
    <t>Ref. 23457</t>
  </si>
  <si>
    <t>Hunter</t>
  </si>
  <si>
    <t>Abanico,color estano 1 lampara de 56"</t>
  </si>
  <si>
    <t>G-750</t>
  </si>
  <si>
    <t>G-749</t>
  </si>
  <si>
    <t>121-11</t>
  </si>
  <si>
    <t>Bebederos Marca Daiwa C/Nevera DW2-10</t>
  </si>
  <si>
    <t>G-748</t>
  </si>
  <si>
    <t>Bebederos Marca Daiwa C/Nevera DW2-9</t>
  </si>
  <si>
    <t>G-747</t>
  </si>
  <si>
    <t>Bebederos Marca Daiwa C/Nevera DW2-8</t>
  </si>
  <si>
    <t>G-746</t>
  </si>
  <si>
    <t>121-08</t>
  </si>
  <si>
    <t>Bebederos Marca Daiwa C/Nevera DW2-7</t>
  </si>
  <si>
    <t>G-745</t>
  </si>
  <si>
    <t>Servicios Generales</t>
  </si>
  <si>
    <t>Bebederos Marca Daiwa C/Nevera DW2-6</t>
  </si>
  <si>
    <t>G-744</t>
  </si>
  <si>
    <t>Microondas GE JE-1160WD 1.1</t>
  </si>
  <si>
    <t>G-743</t>
  </si>
  <si>
    <t>Cocina 7mo. piso</t>
  </si>
  <si>
    <t xml:space="preserve">Aire Acondicionado de </t>
  </si>
  <si>
    <t>G-742</t>
  </si>
  <si>
    <t>último cubículo oficina</t>
  </si>
  <si>
    <t>Emp. Suara</t>
  </si>
  <si>
    <t>Cortina venesiana de aluminio liso color g.</t>
  </si>
  <si>
    <t>G-741</t>
  </si>
  <si>
    <t xml:space="preserve">Fact. </t>
  </si>
  <si>
    <t>Cortinas de aluminio perforado 2</t>
  </si>
  <si>
    <t>G-740</t>
  </si>
  <si>
    <t>Recepción CMR-Azua</t>
  </si>
  <si>
    <t>Cortinas de aluminio perforado 3</t>
  </si>
  <si>
    <t>G-739</t>
  </si>
  <si>
    <t>Instalación</t>
  </si>
  <si>
    <t>G-738</t>
  </si>
  <si>
    <t>Cortinas de aluminio perforado 6</t>
  </si>
  <si>
    <t>G-737</t>
  </si>
  <si>
    <t>Cortina de alumino perforado  5</t>
  </si>
  <si>
    <t>G-736</t>
  </si>
  <si>
    <t>Cortina de aluminio perforado 5</t>
  </si>
  <si>
    <t>G-735</t>
  </si>
  <si>
    <t>Cortina de aluminio perforado 6</t>
  </si>
  <si>
    <t>G-734</t>
  </si>
  <si>
    <t>Cortina de aluminio perforado 2</t>
  </si>
  <si>
    <t>G-733</t>
  </si>
  <si>
    <t>PLAZA LAMA</t>
  </si>
  <si>
    <t>Carrito servidor para cocina R-856-29003</t>
  </si>
  <si>
    <t>G-732</t>
  </si>
  <si>
    <t>19PFL4322</t>
  </si>
  <si>
    <t>TV  LCD PHILIPS DE 19 PULGADAS</t>
  </si>
  <si>
    <t>G-731</t>
  </si>
  <si>
    <t>aa</t>
  </si>
  <si>
    <t>Impresora Multinacional</t>
  </si>
  <si>
    <t>G-730</t>
  </si>
  <si>
    <t>Officeline C por A.</t>
  </si>
  <si>
    <t>Instalacion</t>
  </si>
  <si>
    <t>G-729</t>
  </si>
  <si>
    <t>Archivo aereo cerrado c/llaves color haya</t>
  </si>
  <si>
    <t>G-728</t>
  </si>
  <si>
    <t>G-727</t>
  </si>
  <si>
    <t>Archivo aereo abierto med. 35</t>
  </si>
  <si>
    <t>G-726</t>
  </si>
  <si>
    <t>Archivo aereo c/puertas con llave med. 35· color gris</t>
  </si>
  <si>
    <t>G-725</t>
  </si>
  <si>
    <t>G-724</t>
  </si>
  <si>
    <t>Archivos aereos Abierto med. 28"</t>
  </si>
  <si>
    <t>G-723</t>
  </si>
  <si>
    <t>Archivos aereos con puertas y, Color Gris y 3 color haya</t>
  </si>
  <si>
    <t>G-722</t>
  </si>
  <si>
    <t>G-721</t>
  </si>
  <si>
    <t>G-720</t>
  </si>
  <si>
    <t>G-719</t>
  </si>
  <si>
    <t>G-718</t>
  </si>
  <si>
    <t>SE-249</t>
  </si>
  <si>
    <t>Sillon Ejecutivo Mod. Tela Azul,Sistema Reclinable Importado</t>
  </si>
  <si>
    <t>G-717</t>
  </si>
  <si>
    <t>G-716</t>
  </si>
  <si>
    <t>SS-IN31</t>
  </si>
  <si>
    <t>Silla Secretarial Mod. En  Tela Azul,Sistema de contacto Permanente</t>
  </si>
  <si>
    <t>G-715</t>
  </si>
  <si>
    <t>G-714</t>
  </si>
  <si>
    <t>G-713</t>
  </si>
  <si>
    <t>G-712</t>
  </si>
  <si>
    <t>G-711</t>
  </si>
  <si>
    <t>G-710</t>
  </si>
  <si>
    <t>G-709</t>
  </si>
  <si>
    <t>G-708</t>
  </si>
  <si>
    <t>G-707</t>
  </si>
  <si>
    <t>G-706</t>
  </si>
  <si>
    <t>G-705</t>
  </si>
  <si>
    <t>G-704</t>
  </si>
  <si>
    <t>G-703</t>
  </si>
  <si>
    <t>G-702</t>
  </si>
  <si>
    <t>G-701</t>
  </si>
  <si>
    <t>G-700</t>
  </si>
  <si>
    <t>G-699</t>
  </si>
  <si>
    <t>G-698</t>
  </si>
  <si>
    <t>G-697</t>
  </si>
  <si>
    <t>G-696</t>
  </si>
  <si>
    <t>G-695</t>
  </si>
  <si>
    <t>Silla de Visita Mod. En Tela Color Azul tubo de Aluminio,importada</t>
  </si>
  <si>
    <t>G-694</t>
  </si>
  <si>
    <t>G-693</t>
  </si>
  <si>
    <t>G-692</t>
  </si>
  <si>
    <t>G-691</t>
  </si>
  <si>
    <t>G-690</t>
  </si>
  <si>
    <t>G-689</t>
  </si>
  <si>
    <t>G-688</t>
  </si>
  <si>
    <t>G-687</t>
  </si>
  <si>
    <t>G-686</t>
  </si>
  <si>
    <t>G-685</t>
  </si>
  <si>
    <t>G-684</t>
  </si>
  <si>
    <t>G-683</t>
  </si>
  <si>
    <t>Sala de espera</t>
  </si>
  <si>
    <t>G-682</t>
  </si>
  <si>
    <t>G-681</t>
  </si>
  <si>
    <t>G-680</t>
  </si>
  <si>
    <t>G-679</t>
  </si>
  <si>
    <t>MMR3GAA</t>
  </si>
  <si>
    <t>Modulo metalico con ruedas,3Gavetas,Color Aluminio</t>
  </si>
  <si>
    <t>G-678</t>
  </si>
  <si>
    <t>G-677</t>
  </si>
  <si>
    <t>G-676</t>
  </si>
  <si>
    <t>G-675</t>
  </si>
  <si>
    <t>G-674</t>
  </si>
  <si>
    <t>LUP 100 AH</t>
  </si>
  <si>
    <t>Lateral de un paral tubo de metal Color aluminio Tope melamina Color Haya</t>
  </si>
  <si>
    <t>G-673</t>
  </si>
  <si>
    <t>G-672</t>
  </si>
  <si>
    <t>G-671</t>
  </si>
  <si>
    <t>G-670</t>
  </si>
  <si>
    <t>G-669</t>
  </si>
  <si>
    <t>Transporte Mobiliario La Vega, San Pedro</t>
  </si>
  <si>
    <t>G-668</t>
  </si>
  <si>
    <t>Enganche para Silla Visi Cora</t>
  </si>
  <si>
    <t>G-667</t>
  </si>
  <si>
    <t>G-666</t>
  </si>
  <si>
    <t>G-665</t>
  </si>
  <si>
    <t>G-664</t>
  </si>
  <si>
    <t>G-663</t>
  </si>
  <si>
    <t>G-662</t>
  </si>
  <si>
    <t>G-661</t>
  </si>
  <si>
    <t>G-660</t>
  </si>
  <si>
    <t>G-659</t>
  </si>
  <si>
    <t>G-658</t>
  </si>
  <si>
    <t>G-657</t>
  </si>
  <si>
    <t>G-656</t>
  </si>
  <si>
    <t>G-655</t>
  </si>
  <si>
    <t>G-654</t>
  </si>
  <si>
    <t>G-653</t>
  </si>
  <si>
    <t>G-652</t>
  </si>
  <si>
    <t>G-651</t>
  </si>
  <si>
    <t>G-650</t>
  </si>
  <si>
    <t>G-649</t>
  </si>
  <si>
    <t>G-648</t>
  </si>
  <si>
    <t>G-647</t>
  </si>
  <si>
    <t>G-646</t>
  </si>
  <si>
    <t>G-645</t>
  </si>
  <si>
    <t>G-644</t>
  </si>
  <si>
    <t>G-643</t>
  </si>
  <si>
    <t>G-642</t>
  </si>
  <si>
    <t>G-641</t>
  </si>
  <si>
    <t>G-640</t>
  </si>
  <si>
    <t>G-639</t>
  </si>
  <si>
    <t>G-638</t>
  </si>
  <si>
    <t>G-637</t>
  </si>
  <si>
    <t>G-636</t>
  </si>
  <si>
    <t>G-635</t>
  </si>
  <si>
    <t>G-634</t>
  </si>
  <si>
    <t>G-633</t>
  </si>
  <si>
    <t>G-632</t>
  </si>
  <si>
    <t>G-631</t>
  </si>
  <si>
    <t>G-630</t>
  </si>
  <si>
    <t>G-629</t>
  </si>
  <si>
    <t>G-628</t>
  </si>
  <si>
    <t>G-627</t>
  </si>
  <si>
    <t>G-626</t>
  </si>
  <si>
    <t>G-625</t>
  </si>
  <si>
    <t>G-624</t>
  </si>
  <si>
    <t>G-623</t>
  </si>
  <si>
    <t>G-622</t>
  </si>
  <si>
    <t>G-621</t>
  </si>
  <si>
    <t>G-620</t>
  </si>
  <si>
    <t>G-619</t>
  </si>
  <si>
    <t>G-618</t>
  </si>
  <si>
    <t>G-617</t>
  </si>
  <si>
    <t>G-616</t>
  </si>
  <si>
    <t>G-615</t>
  </si>
  <si>
    <t>G-614</t>
  </si>
  <si>
    <t>G-613</t>
  </si>
  <si>
    <t>G-612</t>
  </si>
  <si>
    <t>G-611</t>
  </si>
  <si>
    <t>G-610</t>
  </si>
  <si>
    <t>G-609</t>
  </si>
  <si>
    <t>G-608</t>
  </si>
  <si>
    <t>G-607</t>
  </si>
  <si>
    <t>G-606</t>
  </si>
  <si>
    <t>G-605</t>
  </si>
  <si>
    <t>G-604</t>
  </si>
  <si>
    <t>EZKH</t>
  </si>
  <si>
    <t>Escritorio 28"x48"x29 Base de metal color aluminio tope melanina color haya.</t>
  </si>
  <si>
    <t>G-603</t>
  </si>
  <si>
    <t>G-602</t>
  </si>
  <si>
    <t>G-601</t>
  </si>
  <si>
    <t>G-600</t>
  </si>
  <si>
    <t>G-599</t>
  </si>
  <si>
    <t>MK 160</t>
  </si>
  <si>
    <t>Escritorio Cuerpo de metal Color Aluminio Tope de melamina color Haya, 31"x63"</t>
  </si>
  <si>
    <t>G-598</t>
  </si>
  <si>
    <t>G-597</t>
  </si>
  <si>
    <t>Gavetas para teclado Color gris</t>
  </si>
  <si>
    <t>G-596</t>
  </si>
  <si>
    <t>G-595</t>
  </si>
  <si>
    <t>G-594</t>
  </si>
  <si>
    <t>G-593</t>
  </si>
  <si>
    <t>G-592</t>
  </si>
  <si>
    <t>G-591</t>
  </si>
  <si>
    <t>G-590</t>
  </si>
  <si>
    <t>G-589</t>
  </si>
  <si>
    <t>G-588</t>
  </si>
  <si>
    <t>G-587</t>
  </si>
  <si>
    <t>A15</t>
  </si>
  <si>
    <t xml:space="preserve">Juego de Brazos para Sillas Secretariales Mod. </t>
  </si>
  <si>
    <t>G-586</t>
  </si>
  <si>
    <t>G-585</t>
  </si>
  <si>
    <t>G-584</t>
  </si>
  <si>
    <t>G-583</t>
  </si>
  <si>
    <t>G-582</t>
  </si>
  <si>
    <t>Archivo Lateral de 4 Gavetas</t>
  </si>
  <si>
    <t>G-581</t>
  </si>
  <si>
    <t>G-580</t>
  </si>
  <si>
    <t>G-579</t>
  </si>
  <si>
    <t>G-578</t>
  </si>
  <si>
    <t>G-577</t>
  </si>
  <si>
    <t>Base de 3 apotos para mesa de conferencia Ref. 023 metal color aluminio</t>
  </si>
  <si>
    <t>G-576</t>
  </si>
  <si>
    <t>G-575</t>
  </si>
  <si>
    <t>G-574</t>
  </si>
  <si>
    <t>G-573</t>
  </si>
  <si>
    <t>G-572</t>
  </si>
  <si>
    <t>(Jn-012F)</t>
  </si>
  <si>
    <t>Tope Circular en Melamina de 100x2,5" cms Color Haya</t>
  </si>
  <si>
    <t>G-571</t>
  </si>
  <si>
    <t>G-570</t>
  </si>
  <si>
    <t>G-569</t>
  </si>
  <si>
    <t>G-568</t>
  </si>
  <si>
    <t>G-567</t>
  </si>
  <si>
    <t>Archivo Modular Importado de 3 G.</t>
  </si>
  <si>
    <t>G-566</t>
  </si>
  <si>
    <t>Moldura de terminacion para estacion</t>
  </si>
  <si>
    <t>G-565</t>
  </si>
  <si>
    <t>Moldura de Union en T, para 3 pan</t>
  </si>
  <si>
    <t>G-564</t>
  </si>
  <si>
    <t>Escritorio Platinum Mod. Metal</t>
  </si>
  <si>
    <t>G-563</t>
  </si>
  <si>
    <t>Panel Para Estacione de 1,5 mts</t>
  </si>
  <si>
    <t>G-562</t>
  </si>
  <si>
    <t>Conexión de un (1) Panel a Pared</t>
  </si>
  <si>
    <t>G-561</t>
  </si>
  <si>
    <t>G-560</t>
  </si>
  <si>
    <t>Modulo Metalico con ruedas,3 Gavetas,Color Aluminio</t>
  </si>
  <si>
    <t>G-559</t>
  </si>
  <si>
    <t>G-558</t>
  </si>
  <si>
    <t>G-557</t>
  </si>
  <si>
    <t>G-556</t>
  </si>
  <si>
    <t>NJ07,NJ86,NJ90</t>
  </si>
  <si>
    <t>Juego de Brazos Para Sillas Secretariales,161,070</t>
  </si>
  <si>
    <t>G-555</t>
  </si>
  <si>
    <t>G-554</t>
  </si>
  <si>
    <t>G-553</t>
  </si>
  <si>
    <t>Kit de Cajero Negro Importado</t>
  </si>
  <si>
    <t>G-552</t>
  </si>
  <si>
    <t>SS-NJ90</t>
  </si>
  <si>
    <t>Silla Secretarial Mod.en Tela,Sist.Neum. Giratorio,Importada</t>
  </si>
  <si>
    <t>G-551</t>
  </si>
  <si>
    <t>G-550</t>
  </si>
  <si>
    <t>G-549</t>
  </si>
  <si>
    <t>G-548</t>
  </si>
  <si>
    <t>G-547</t>
  </si>
  <si>
    <t>Comisión Médica</t>
  </si>
  <si>
    <t>Silla de Visita Mod.Tela,Tubo, C/Aluminio,Importada</t>
  </si>
  <si>
    <t>G-546</t>
  </si>
  <si>
    <t>G-545</t>
  </si>
  <si>
    <t>G-544</t>
  </si>
  <si>
    <t>G-543</t>
  </si>
  <si>
    <t>G-542</t>
  </si>
  <si>
    <t>Gavetas para Teclado Color Gris</t>
  </si>
  <si>
    <t>G-541</t>
  </si>
  <si>
    <t>G-540</t>
  </si>
  <si>
    <t>G-539</t>
  </si>
  <si>
    <t>G-538</t>
  </si>
  <si>
    <t>ZK120</t>
  </si>
  <si>
    <t>Escritorio Mod. Cuerpo Metal C/-Aluminio, Tope Melanina 28"x48</t>
  </si>
  <si>
    <t>G-537</t>
  </si>
  <si>
    <t>Escritorio Mod. Cuerpo Metal C/-Aluminio ,Tope Melanina 28"x48</t>
  </si>
  <si>
    <t>G-536</t>
  </si>
  <si>
    <t>Escritorio Mod. Cuerpo Metal C/-Aluminio,Tope Melanina 28"x48</t>
  </si>
  <si>
    <t>G-535</t>
  </si>
  <si>
    <t>Escritorio Mod. 1000 ,Melamina Color Grafito y Haya de 18"x40"</t>
  </si>
  <si>
    <t>G-534</t>
  </si>
  <si>
    <t>G-533</t>
  </si>
  <si>
    <t>SV-305</t>
  </si>
  <si>
    <t>Sillas sin Brazos Mod. Tubo Cromado,Asiento y Respaldo Plastico,Azul</t>
  </si>
  <si>
    <t>G-532</t>
  </si>
  <si>
    <t>G-531</t>
  </si>
  <si>
    <t>MC-501</t>
  </si>
  <si>
    <t>Mesa de Centro Mod. Base de metal tope de Cristal 24"x43".</t>
  </si>
  <si>
    <t>G-530</t>
  </si>
  <si>
    <t>ZK100</t>
  </si>
  <si>
    <t>Escritorio Mod. Cuerpo Metal C/-Aluminio,Tope Melanina</t>
  </si>
  <si>
    <t>G-529</t>
  </si>
  <si>
    <t>Mundo Oficina</t>
  </si>
  <si>
    <t>Trituradora tipo Destroyit</t>
  </si>
  <si>
    <t>G-528</t>
  </si>
  <si>
    <t>1D-0237576</t>
  </si>
  <si>
    <t>5LV-N55</t>
  </si>
  <si>
    <t>VHS, HI-FI Stereo VCR</t>
  </si>
  <si>
    <t>G-150</t>
  </si>
  <si>
    <t>Azotea</t>
  </si>
  <si>
    <t>Dominicana de Oficina, S.A.</t>
  </si>
  <si>
    <t>80S</t>
  </si>
  <si>
    <t xml:space="preserve">GBC </t>
  </si>
  <si>
    <t>Trituradora de papeles, color gris.</t>
  </si>
  <si>
    <t>G-154</t>
  </si>
  <si>
    <t>GBS Shrdmaster</t>
  </si>
  <si>
    <t>Trituradora de papeles</t>
  </si>
  <si>
    <t>G-133</t>
  </si>
  <si>
    <t>Dpto.legal</t>
  </si>
  <si>
    <t>Compu Copy SB</t>
  </si>
  <si>
    <t>85X</t>
  </si>
  <si>
    <t>GBC</t>
  </si>
  <si>
    <t>Trituradora de papel, color gris</t>
  </si>
  <si>
    <t>G-218</t>
  </si>
  <si>
    <t>SC70</t>
  </si>
  <si>
    <t>Trituradora de papel color gris</t>
  </si>
  <si>
    <t>G-200</t>
  </si>
  <si>
    <t>Mundo Oficina, C. Por.A.</t>
  </si>
  <si>
    <t>Destroyit</t>
  </si>
  <si>
    <t xml:space="preserve">Trituradora de papel  </t>
  </si>
  <si>
    <t>G-466</t>
  </si>
  <si>
    <t>Ofic. Adm. 7mo piso</t>
  </si>
  <si>
    <t>104-2</t>
  </si>
  <si>
    <t>HSM</t>
  </si>
  <si>
    <t>G-465</t>
  </si>
  <si>
    <t>Papel 2000, C. por A.</t>
  </si>
  <si>
    <t>Shredmaster</t>
  </si>
  <si>
    <t>Triturador de papeles</t>
  </si>
  <si>
    <t>G-038</t>
  </si>
  <si>
    <t>Sala de espera R.P. y O.A.I</t>
  </si>
  <si>
    <t>03-08/433595</t>
  </si>
  <si>
    <t>Ferreteria Americana, C. Por A</t>
  </si>
  <si>
    <t>FPE1906DV</t>
  </si>
  <si>
    <t>LCD</t>
  </si>
  <si>
    <t>Televisor audiovox</t>
  </si>
  <si>
    <t>G-475</t>
  </si>
  <si>
    <t>49466840B Chasis # M3L18</t>
  </si>
  <si>
    <t>13A22</t>
  </si>
  <si>
    <t>Televisor a color 13"</t>
  </si>
  <si>
    <t>G-149</t>
  </si>
  <si>
    <t>Molina</t>
  </si>
  <si>
    <t>MQ7160819</t>
  </si>
  <si>
    <t>Panasonic 20"</t>
  </si>
  <si>
    <t>Televisor</t>
  </si>
  <si>
    <t>G-467</t>
  </si>
  <si>
    <t>Cócina 6to. Piso</t>
  </si>
  <si>
    <t>49466880B</t>
  </si>
  <si>
    <t>Thoshiba</t>
  </si>
  <si>
    <t>Televisor a color, control remoto</t>
  </si>
  <si>
    <t>G-164</t>
  </si>
  <si>
    <t>Ofic. Pte. CNSS 7mo. Piso</t>
  </si>
  <si>
    <r>
      <t xml:space="preserve">49466147B, </t>
    </r>
    <r>
      <rPr>
        <b/>
        <sz val="12"/>
        <rFont val="Times New Roman"/>
        <family val="1"/>
      </rPr>
      <t>Chasis</t>
    </r>
    <r>
      <rPr>
        <sz val="12"/>
        <rFont val="Times New Roman"/>
        <family val="1"/>
      </rPr>
      <t xml:space="preserve"> M3L18</t>
    </r>
  </si>
  <si>
    <t>Televisor a color control remoto 13"</t>
  </si>
  <si>
    <t>G-219</t>
  </si>
  <si>
    <t>Ofiventas</t>
  </si>
  <si>
    <t>2D136923</t>
  </si>
  <si>
    <t>EL-2630P</t>
  </si>
  <si>
    <t>Sumadora eléctrica</t>
  </si>
  <si>
    <t>G-172</t>
  </si>
  <si>
    <t>5D021803</t>
  </si>
  <si>
    <t>2630 PIII</t>
  </si>
  <si>
    <t>Sumadora Eléctrica</t>
  </si>
  <si>
    <t>G-358</t>
  </si>
  <si>
    <t>Almacén CNSS (dañada)</t>
  </si>
  <si>
    <t>2D048435</t>
  </si>
  <si>
    <t>G-137</t>
  </si>
  <si>
    <t>Para descargo</t>
  </si>
  <si>
    <t>ID202139</t>
  </si>
  <si>
    <t>G-025</t>
  </si>
  <si>
    <t>4D088228</t>
  </si>
  <si>
    <t>EL-2630PIII</t>
  </si>
  <si>
    <t>G-022</t>
  </si>
  <si>
    <t>ID158260</t>
  </si>
  <si>
    <t>G-016</t>
  </si>
  <si>
    <t>4D087498</t>
  </si>
  <si>
    <t>G-012</t>
  </si>
  <si>
    <t>ID07572A</t>
  </si>
  <si>
    <t>2630P</t>
  </si>
  <si>
    <t>G-001</t>
  </si>
  <si>
    <t>GR-1</t>
  </si>
  <si>
    <t>Sandwichera</t>
  </si>
  <si>
    <t>G-481</t>
  </si>
  <si>
    <t>Dominicana de Oficina, S. A.</t>
  </si>
  <si>
    <t>Bostitch</t>
  </si>
  <si>
    <t>Sacapuntas Eléctrico</t>
  </si>
  <si>
    <t>G-363</t>
  </si>
  <si>
    <t>296A</t>
  </si>
  <si>
    <t>Boston</t>
  </si>
  <si>
    <t>G-026</t>
  </si>
  <si>
    <t>Ord. Compra</t>
  </si>
  <si>
    <t>Tomper, S.A.</t>
  </si>
  <si>
    <t>P1x3000x</t>
  </si>
  <si>
    <t>Amano-Cincinati</t>
  </si>
  <si>
    <t xml:space="preserve">Reloj recibidor de correspondencia </t>
  </si>
  <si>
    <t>G-046</t>
  </si>
  <si>
    <t>Daewoo</t>
  </si>
  <si>
    <t>Radio cassette CD</t>
  </si>
  <si>
    <t>G-468</t>
  </si>
  <si>
    <t>17KW020334008334</t>
  </si>
  <si>
    <t>AZ1300</t>
  </si>
  <si>
    <t>Philips</t>
  </si>
  <si>
    <t>Radio casetera</t>
  </si>
  <si>
    <t>G-156</t>
  </si>
  <si>
    <t>Cuisin Art</t>
  </si>
  <si>
    <t>Procesador de vegetales</t>
  </si>
  <si>
    <t>G-472</t>
  </si>
  <si>
    <t>Salón de reuniones (a lado de legal)</t>
  </si>
  <si>
    <t xml:space="preserve">Pantalla para Proyector </t>
  </si>
  <si>
    <t>G-279</t>
  </si>
  <si>
    <t>Cocina 6to. Piso</t>
  </si>
  <si>
    <t>Plaza Lama, S.A.</t>
  </si>
  <si>
    <t>310MR01120</t>
  </si>
  <si>
    <t>GR3DW12CPC</t>
  </si>
  <si>
    <t>Nevera LGM/GR30W12CPC blanca de 10.5"</t>
  </si>
  <si>
    <t>G-293</t>
  </si>
  <si>
    <t>Cocina 7mo. Piso</t>
  </si>
  <si>
    <t>11469962ZY</t>
  </si>
  <si>
    <t>CTB1925GRW</t>
  </si>
  <si>
    <t>Magicchef</t>
  </si>
  <si>
    <t>Nevera de 14", color blanco</t>
  </si>
  <si>
    <t>G-302</t>
  </si>
  <si>
    <t>Barahona</t>
  </si>
  <si>
    <t>Orden Compra</t>
  </si>
  <si>
    <t>Comercial Suaca, C, por A.</t>
  </si>
  <si>
    <t>TA10ZBEM/LEM</t>
  </si>
  <si>
    <t>General Eletric</t>
  </si>
  <si>
    <t>Nevera 10 pies</t>
  </si>
  <si>
    <t>G-391</t>
  </si>
  <si>
    <t>Molina &amp; Cia, C. por A.</t>
  </si>
  <si>
    <t>Gold Star</t>
  </si>
  <si>
    <t>Microonda</t>
  </si>
  <si>
    <t>G-392</t>
  </si>
  <si>
    <t>L &amp; C Supply Products, S.A.</t>
  </si>
  <si>
    <t>E52783 (9809)</t>
  </si>
  <si>
    <t>AX-160</t>
  </si>
  <si>
    <t>Nakajima</t>
  </si>
  <si>
    <t>Maquina de escribir eléctrica</t>
  </si>
  <si>
    <t>G-003</t>
  </si>
  <si>
    <t>CBT</t>
  </si>
  <si>
    <t>Licuadora</t>
  </si>
  <si>
    <t>G-482</t>
  </si>
  <si>
    <t>KitchenAid</t>
  </si>
  <si>
    <t>G-471</t>
  </si>
  <si>
    <t>Cocina C.M.S.P.M</t>
  </si>
  <si>
    <t>Trace Internacional, C. por A.</t>
  </si>
  <si>
    <t>G16805139</t>
  </si>
  <si>
    <t>Inversor 3.6 Kilos, Baterías e Instalación</t>
  </si>
  <si>
    <t>G-438</t>
  </si>
  <si>
    <t>TMW20. 1BI-S</t>
  </si>
  <si>
    <t>TEKA</t>
  </si>
  <si>
    <t>Horno Microhonda inoxidable</t>
  </si>
  <si>
    <t>G-477</t>
  </si>
  <si>
    <t>Cocina 6to. piso</t>
  </si>
  <si>
    <t>G-476</t>
  </si>
  <si>
    <t>HA-850</t>
  </si>
  <si>
    <t>Horno electrico inoxidable</t>
  </si>
  <si>
    <t>G-478</t>
  </si>
  <si>
    <t>FE770LRM5640BC49</t>
  </si>
  <si>
    <t>8610X558</t>
  </si>
  <si>
    <t>Scientific</t>
  </si>
  <si>
    <t>Home comunications terminal</t>
  </si>
  <si>
    <t>G-165</t>
  </si>
  <si>
    <t>Tarjeta de Credito</t>
  </si>
  <si>
    <t>Americana Departamento</t>
  </si>
  <si>
    <t>RR-US395P-S</t>
  </si>
  <si>
    <t xml:space="preserve">Panasonic </t>
  </si>
  <si>
    <t>Grabadora</t>
  </si>
  <si>
    <t>G-521</t>
  </si>
  <si>
    <t>G-520</t>
  </si>
  <si>
    <t>G-519</t>
  </si>
  <si>
    <t>Presidencia del CNSS</t>
  </si>
  <si>
    <t>Radiocentro</t>
  </si>
  <si>
    <t>SC-706CD</t>
  </si>
  <si>
    <t>SuperSonic</t>
  </si>
  <si>
    <t>Grabador SC-706, Radio Stereo</t>
  </si>
  <si>
    <t>G-220</t>
  </si>
  <si>
    <t>3-5383A</t>
  </si>
  <si>
    <t>GE</t>
  </si>
  <si>
    <t>Grabador</t>
  </si>
  <si>
    <t>G-420</t>
  </si>
  <si>
    <t>Dpto. Relaciones Publicas</t>
  </si>
  <si>
    <t>Soluciones de Oficina Díaz, C. X.A</t>
  </si>
  <si>
    <t>AL-1661CS</t>
  </si>
  <si>
    <t>Fotocopiadora</t>
  </si>
  <si>
    <t>G-487</t>
  </si>
  <si>
    <t>G-486</t>
  </si>
  <si>
    <t>RTP41545</t>
  </si>
  <si>
    <t>PC430</t>
  </si>
  <si>
    <t>Canon</t>
  </si>
  <si>
    <t>G-440</t>
  </si>
  <si>
    <t>6258-6679</t>
  </si>
  <si>
    <t>Oficina Administrativa</t>
  </si>
  <si>
    <t>Xerox Dominicana</t>
  </si>
  <si>
    <t>NYDO54376N</t>
  </si>
  <si>
    <t>Copycentro235</t>
  </si>
  <si>
    <t>G-122</t>
  </si>
  <si>
    <t xml:space="preserve">Ofic. Administrativa </t>
  </si>
  <si>
    <t>LEE03694</t>
  </si>
  <si>
    <t>Mutipass L6000</t>
  </si>
  <si>
    <t>Fax, color crema</t>
  </si>
  <si>
    <t>G-203</t>
  </si>
  <si>
    <t>UXP200</t>
  </si>
  <si>
    <t>Fax</t>
  </si>
  <si>
    <t>G-360</t>
  </si>
  <si>
    <t>Waring</t>
  </si>
  <si>
    <t>Extractor</t>
  </si>
  <si>
    <t>G-470</t>
  </si>
  <si>
    <t>Estufa empostrada inoxidable</t>
  </si>
  <si>
    <t>G-480</t>
  </si>
  <si>
    <t>G-479</t>
  </si>
  <si>
    <t>DWA100</t>
  </si>
  <si>
    <t>DAIWA</t>
  </si>
  <si>
    <t>Estufa eléctrica de una hornilla (Dañada)</t>
  </si>
  <si>
    <t>G-335</t>
  </si>
  <si>
    <t>TS-325</t>
  </si>
  <si>
    <t>Brentwood</t>
  </si>
  <si>
    <t>G-296</t>
  </si>
  <si>
    <t>Ferretería Cuesta</t>
  </si>
  <si>
    <t>PR-40</t>
  </si>
  <si>
    <t>Rival</t>
  </si>
  <si>
    <t>Estufa electrica</t>
  </si>
  <si>
    <t>G-305</t>
  </si>
  <si>
    <t>DQ5ff001525</t>
  </si>
  <si>
    <t>G-347</t>
  </si>
  <si>
    <t>Orden de Compra</t>
  </si>
  <si>
    <t>Mosua Trading C X A</t>
  </si>
  <si>
    <t>RAE-711</t>
  </si>
  <si>
    <t>MOSUA</t>
  </si>
  <si>
    <t>Deshumidificador</t>
  </si>
  <si>
    <t>G-409</t>
  </si>
  <si>
    <t>2630 G2</t>
  </si>
  <si>
    <t>Calculadora Eléctrica</t>
  </si>
  <si>
    <t>G-361</t>
  </si>
  <si>
    <t>Eagle Safes</t>
  </si>
  <si>
    <t>Caja Fuerte SS-150</t>
  </si>
  <si>
    <t>G-027</t>
  </si>
  <si>
    <t>Ferretería Popular</t>
  </si>
  <si>
    <t>FDG-A 1/J 63</t>
  </si>
  <si>
    <t>Continental</t>
  </si>
  <si>
    <t>Caja de Seguridad</t>
  </si>
  <si>
    <t>G-383</t>
  </si>
  <si>
    <t>Cafetera inoxidable</t>
  </si>
  <si>
    <t>G-483</t>
  </si>
  <si>
    <t>3294-012</t>
  </si>
  <si>
    <t>Oster</t>
  </si>
  <si>
    <t xml:space="preserve">Cafetera electrica </t>
  </si>
  <si>
    <t>G-304</t>
  </si>
  <si>
    <t>Dañada</t>
  </si>
  <si>
    <t>KM9</t>
  </si>
  <si>
    <t>AFK</t>
  </si>
  <si>
    <t>Cafetera eléctrica</t>
  </si>
  <si>
    <t>G-341</t>
  </si>
  <si>
    <t>G-295</t>
  </si>
  <si>
    <t>Cuisinart</t>
  </si>
  <si>
    <t>Cafetera</t>
  </si>
  <si>
    <t>G-469</t>
  </si>
  <si>
    <t>987-1007</t>
  </si>
  <si>
    <t>WBF-210LA</t>
  </si>
  <si>
    <t>Universal</t>
  </si>
  <si>
    <t>Bebedero electrico, color crema</t>
  </si>
  <si>
    <t>G-316</t>
  </si>
  <si>
    <t>Centro Cuesta  Nacional</t>
  </si>
  <si>
    <t xml:space="preserve">Bebedero </t>
  </si>
  <si>
    <t>G-485</t>
  </si>
  <si>
    <t>Usuario: Jinette Bretón</t>
  </si>
  <si>
    <t>G-484</t>
  </si>
  <si>
    <t>3er. Cubículo oficina</t>
  </si>
  <si>
    <t>WBF-710</t>
  </si>
  <si>
    <t>Bebedero</t>
  </si>
  <si>
    <t>G-393</t>
  </si>
  <si>
    <t>602-603</t>
  </si>
  <si>
    <t>Split</t>
  </si>
  <si>
    <t>Goodman</t>
  </si>
  <si>
    <t>Aire Acondicionado 5 Toneladas Inst. Incluida</t>
  </si>
  <si>
    <t>G-439</t>
  </si>
  <si>
    <t>Superchef</t>
  </si>
  <si>
    <t>Abanico de pared</t>
  </si>
  <si>
    <t>G-373</t>
  </si>
  <si>
    <t>G-370</t>
  </si>
  <si>
    <t>Molina Naco</t>
  </si>
  <si>
    <t>16"</t>
  </si>
  <si>
    <t>G-297</t>
  </si>
  <si>
    <t>Ferretería La Innovación</t>
  </si>
  <si>
    <t>Abanico 16" de Pared</t>
  </si>
  <si>
    <t>G-435</t>
  </si>
  <si>
    <t>G-434</t>
  </si>
  <si>
    <t>Muebles Metalicos R &amp; B, C. X. A.</t>
  </si>
  <si>
    <t>Trameria de 8 pies de alto con 7 paneles 13" X 45" C/Crema</t>
  </si>
  <si>
    <t>G-473</t>
  </si>
  <si>
    <t>Trameria de 8 pies de alto con 5 paneles 13" X 45" C/Crema</t>
  </si>
  <si>
    <t>G-474</t>
  </si>
  <si>
    <t>Distribuidora  Metalica</t>
  </si>
  <si>
    <t>Trameria de 8 pies con 7 paneles de 13 X 45 color crema</t>
  </si>
  <si>
    <t>G-448</t>
  </si>
  <si>
    <t>Trameria de 8 pies con 6 paneles de 13 X 45 color crema</t>
  </si>
  <si>
    <t>G-450</t>
  </si>
  <si>
    <t>G-449</t>
  </si>
  <si>
    <t>Trameria de 6 pies con 5 paneles de 13 X 45 color crema</t>
  </si>
  <si>
    <t>G-447</t>
  </si>
  <si>
    <t>León G</t>
  </si>
  <si>
    <t>Tope laminado con bumper protector y salida para cables de 60 x 24 3/4</t>
  </si>
  <si>
    <t>G-523</t>
  </si>
  <si>
    <t>4718-b</t>
  </si>
  <si>
    <t>Meycy</t>
  </si>
  <si>
    <t>G-283</t>
  </si>
  <si>
    <t>Saloncito de espera</t>
  </si>
  <si>
    <t>Sofá para 2 personas tapizado en piel color negro</t>
  </si>
  <si>
    <t>G-282</t>
  </si>
  <si>
    <t xml:space="preserve">Sofá para 2 personas en piel, color azul, </t>
  </si>
  <si>
    <t>G-162</t>
  </si>
  <si>
    <t>FC-001439</t>
  </si>
  <si>
    <t>La Nacional Home Gallery</t>
  </si>
  <si>
    <t>Sofa 2 OPIUM T/BOLTAFLEX SPALMATURA</t>
  </si>
  <si>
    <t>G-417</t>
  </si>
  <si>
    <t>G-425</t>
  </si>
  <si>
    <t>Sistema Reclinable Neumático</t>
  </si>
  <si>
    <t>G-424</t>
  </si>
  <si>
    <t>Ofic. Presidencia CNSS</t>
  </si>
  <si>
    <t>Euroffice</t>
  </si>
  <si>
    <t>SINUA</t>
  </si>
  <si>
    <t>Sillones en piel para visita, color vino, Butacas SINUA</t>
  </si>
  <si>
    <t>G-217</t>
  </si>
  <si>
    <t>G-216</t>
  </si>
  <si>
    <t>Sillon, ejecutivo en piel color negro, SINUA</t>
  </si>
  <si>
    <t>G-213</t>
  </si>
  <si>
    <t>G-078</t>
  </si>
  <si>
    <t>Consultorio</t>
  </si>
  <si>
    <t>Sillón Victoria C/B, Ajust, color negro</t>
  </si>
  <si>
    <t>G-077</t>
  </si>
  <si>
    <t>G-060</t>
  </si>
  <si>
    <t>Salón de reuniones (S.P.M)</t>
  </si>
  <si>
    <t>Sillón Victoria C/B Ajust, color negro.</t>
  </si>
  <si>
    <t>G-173</t>
  </si>
  <si>
    <t>Sillón Victoria C/B  Ajsut tela, color negro</t>
  </si>
  <si>
    <t>G-</t>
  </si>
  <si>
    <t>G-004</t>
  </si>
  <si>
    <t>Sillón semi-ejecutivo, en tela color negro</t>
  </si>
  <si>
    <t>G-386</t>
  </si>
  <si>
    <t>G-366</t>
  </si>
  <si>
    <t>Dominicana de Oficina, S. A,</t>
  </si>
  <si>
    <t>Sillón semi-ejecutivo, color negro. (mal estado)</t>
  </si>
  <si>
    <t>G-113</t>
  </si>
  <si>
    <t>Sillón semi-ejecutivo, color negro HID&gt; LG-0306</t>
  </si>
  <si>
    <t>G-143</t>
  </si>
  <si>
    <t>Sillón semi-ejecutivo, color negro HID. LG-0306.</t>
  </si>
  <si>
    <t>G-073</t>
  </si>
  <si>
    <t>Sillón semi-ejecutivo, color negro HID. LG-0306</t>
  </si>
  <si>
    <t>G-202</t>
  </si>
  <si>
    <t>Sillon semi-ejecutivo, color negro</t>
  </si>
  <si>
    <t>G-340</t>
  </si>
  <si>
    <t>Sillón semi-ejecutivo en tela, color negro HID. LG-0306</t>
  </si>
  <si>
    <t>G-183</t>
  </si>
  <si>
    <t>G-182</t>
  </si>
  <si>
    <t>G-181</t>
  </si>
  <si>
    <t>G-180</t>
  </si>
  <si>
    <t>Sillón secretarial, color negro.</t>
  </si>
  <si>
    <t>G-087</t>
  </si>
  <si>
    <t>G-053</t>
  </si>
  <si>
    <t>Sillón secretarial, color negro</t>
  </si>
  <si>
    <t>G-207</t>
  </si>
  <si>
    <t>Sillón secretarial Tonic, color negro</t>
  </si>
  <si>
    <t>G-047</t>
  </si>
  <si>
    <t>Sillón secretarial en mal estado, color negro.</t>
  </si>
  <si>
    <t>G-065</t>
  </si>
  <si>
    <t>Sillón ejecutivo, color negro.</t>
  </si>
  <si>
    <t>G-128</t>
  </si>
  <si>
    <t>G-094</t>
  </si>
  <si>
    <t>G-066</t>
  </si>
  <si>
    <t>Sillón ejecutivo, color negro</t>
  </si>
  <si>
    <t>G-147</t>
  </si>
  <si>
    <t>G-144</t>
  </si>
  <si>
    <t>G-142</t>
  </si>
  <si>
    <t>G-120</t>
  </si>
  <si>
    <t>Salón de reuniones(S.P.M)</t>
  </si>
  <si>
    <t>G-107</t>
  </si>
  <si>
    <t>Sillón ejecutivo tapizado, color negro</t>
  </si>
  <si>
    <t>G-179</t>
  </si>
  <si>
    <t>Sillon Ejecutivo Tapizado, Color Negro</t>
  </si>
  <si>
    <t>G-444</t>
  </si>
  <si>
    <t>Consultorio CMR-Santiago</t>
  </si>
  <si>
    <t>4709-b</t>
  </si>
  <si>
    <t>Sillón ejecutivo mod.fly tapizado en piel azul</t>
  </si>
  <si>
    <t>G-159</t>
  </si>
  <si>
    <t>Sillón Ejecutivo en tela LG-0507 Color Negro</t>
  </si>
  <si>
    <t>G-327</t>
  </si>
  <si>
    <t>Sillón Ejecutivo en tela LG-0507 Color negro</t>
  </si>
  <si>
    <t>G-201</t>
  </si>
  <si>
    <t>_último cubículo oficina</t>
  </si>
  <si>
    <t>G-075</t>
  </si>
  <si>
    <t>Ejecutivo</t>
  </si>
  <si>
    <t>G-013</t>
  </si>
  <si>
    <t>Sillón Ejecutivo en tela color negro LG-7070</t>
  </si>
  <si>
    <t>G-178</t>
  </si>
  <si>
    <t>H-003194</t>
  </si>
  <si>
    <t>Improficinas, S.A.</t>
  </si>
  <si>
    <t>4900-B</t>
  </si>
  <si>
    <t>Sillón ejecutivo en piel, color negro</t>
  </si>
  <si>
    <t>G-432</t>
  </si>
  <si>
    <t>G-262</t>
  </si>
  <si>
    <t>G-261</t>
  </si>
  <si>
    <t>Salón Grande CNSS</t>
  </si>
  <si>
    <t>G-260</t>
  </si>
  <si>
    <t>G-259</t>
  </si>
  <si>
    <t>G-258</t>
  </si>
  <si>
    <t>G-257</t>
  </si>
  <si>
    <t>G-256</t>
  </si>
  <si>
    <t>G-255</t>
  </si>
  <si>
    <t>G-254</t>
  </si>
  <si>
    <t>G-253</t>
  </si>
  <si>
    <t>G-252</t>
  </si>
  <si>
    <t>G-251</t>
  </si>
  <si>
    <t>G-250</t>
  </si>
  <si>
    <t>G-249</t>
  </si>
  <si>
    <t>G-248</t>
  </si>
  <si>
    <t>G-247</t>
  </si>
  <si>
    <t>G-246</t>
  </si>
  <si>
    <t>G-245</t>
  </si>
  <si>
    <t>G-244</t>
  </si>
  <si>
    <t>G-243</t>
  </si>
  <si>
    <t>G-242</t>
  </si>
  <si>
    <t>G-241</t>
  </si>
  <si>
    <t>G-240</t>
  </si>
  <si>
    <t>G-239</t>
  </si>
  <si>
    <t>G-238</t>
  </si>
  <si>
    <t>G-237</t>
  </si>
  <si>
    <t>G-236</t>
  </si>
  <si>
    <t>G-235</t>
  </si>
  <si>
    <t>G-234</t>
  </si>
  <si>
    <t>G-233</t>
  </si>
  <si>
    <t>G-232</t>
  </si>
  <si>
    <t>G-231</t>
  </si>
  <si>
    <t>G-230</t>
  </si>
  <si>
    <t>G-229</t>
  </si>
  <si>
    <t>Consultorio Médico</t>
  </si>
  <si>
    <t>G-228</t>
  </si>
  <si>
    <t>G-227</t>
  </si>
  <si>
    <t>Gte. de Salud  y Riesgo Laboral, 6to. Piso</t>
  </si>
  <si>
    <t>Sillon ejecutivo en piel negro</t>
  </si>
  <si>
    <t>G-398</t>
  </si>
  <si>
    <t>Sub-Gerencia General</t>
  </si>
  <si>
    <t>BII Dominicana, S.A.</t>
  </si>
  <si>
    <t>Sillon ejecutivo Aeron, color negro</t>
  </si>
  <si>
    <t>G-488</t>
  </si>
  <si>
    <t>Sillón de tela, color Gris.</t>
  </si>
  <si>
    <t>G-017</t>
  </si>
  <si>
    <t>200/OCT147</t>
  </si>
  <si>
    <t xml:space="preserve">Sillas Oficina PVC/Tela W-01B, </t>
  </si>
  <si>
    <t>G-508</t>
  </si>
  <si>
    <t>G-507</t>
  </si>
  <si>
    <t>G-506</t>
  </si>
  <si>
    <t>G-505</t>
  </si>
  <si>
    <t>G-504</t>
  </si>
  <si>
    <t>G-503</t>
  </si>
  <si>
    <t>G-502</t>
  </si>
  <si>
    <t>G-501</t>
  </si>
  <si>
    <t>G-500</t>
  </si>
  <si>
    <t>G-499</t>
  </si>
  <si>
    <t>G-498</t>
  </si>
  <si>
    <t>G-497</t>
  </si>
  <si>
    <t>G-496</t>
  </si>
  <si>
    <t>G-495</t>
  </si>
  <si>
    <t>G-494</t>
  </si>
  <si>
    <t>G-493</t>
  </si>
  <si>
    <t>G-492</t>
  </si>
  <si>
    <t>G-491</t>
  </si>
  <si>
    <t>G-490</t>
  </si>
  <si>
    <t>G-489</t>
  </si>
  <si>
    <t>Ofic. Gte. Sist. Prov. 6to. Piso</t>
  </si>
  <si>
    <t>Todo Usado</t>
  </si>
  <si>
    <t>Sillas estacionarias en hierro, tapizado color negro</t>
  </si>
  <si>
    <t>G-049</t>
  </si>
  <si>
    <t>Silla secretarial color gris</t>
  </si>
  <si>
    <t>G-380</t>
  </si>
  <si>
    <t xml:space="preserve">Silla plegadiza, tapizada color crema </t>
  </si>
  <si>
    <t>G-333</t>
  </si>
  <si>
    <t>G-299</t>
  </si>
  <si>
    <t>G-298</t>
  </si>
  <si>
    <t>Silla plegadiza para visitas, en tela color crema</t>
  </si>
  <si>
    <t>G-036</t>
  </si>
  <si>
    <t>G-035</t>
  </si>
  <si>
    <t>G-034</t>
  </si>
  <si>
    <t>G-033</t>
  </si>
  <si>
    <t>Cocina 6to piso</t>
  </si>
  <si>
    <t>Silla plástica, color blanco</t>
  </si>
  <si>
    <t>G-334</t>
  </si>
  <si>
    <t>G-330</t>
  </si>
  <si>
    <t>Silla plastica, color blanco</t>
  </si>
  <si>
    <t>G-315</t>
  </si>
  <si>
    <t>G-314</t>
  </si>
  <si>
    <t>G-313</t>
  </si>
  <si>
    <t>G-312</t>
  </si>
  <si>
    <t>G-311</t>
  </si>
  <si>
    <t>G-310</t>
  </si>
  <si>
    <t>G-309</t>
  </si>
  <si>
    <t>G-308</t>
  </si>
  <si>
    <t>Silla plastica blanca</t>
  </si>
  <si>
    <t>G-339</t>
  </si>
  <si>
    <t xml:space="preserve">Cuarto de Servidores </t>
  </si>
  <si>
    <t>G-037</t>
  </si>
  <si>
    <t>Silla para visita, color negro tapizado en tela</t>
  </si>
  <si>
    <t>G-388</t>
  </si>
  <si>
    <t>G-387</t>
  </si>
  <si>
    <t>Silla estacionaria para visita en hierro, tapizado color negro</t>
  </si>
  <si>
    <t>G-058</t>
  </si>
  <si>
    <t>G-057</t>
  </si>
  <si>
    <t>G-278</t>
  </si>
  <si>
    <t>G-277</t>
  </si>
  <si>
    <t>G-276</t>
  </si>
  <si>
    <t>G-275</t>
  </si>
  <si>
    <t>Gerencia de planificación</t>
  </si>
  <si>
    <t>Silla estacionaria en hierro, tapizado color negro</t>
  </si>
  <si>
    <t>G-274</t>
  </si>
  <si>
    <t>Silla Estacionaria en Hierro, Tapizado Color Negro</t>
  </si>
  <si>
    <t>G-050</t>
  </si>
  <si>
    <t>Salón reunión CMR-Santiago.</t>
  </si>
  <si>
    <t>Silla estacionaria en hierro para visita, tapizada en negro</t>
  </si>
  <si>
    <t>G-331</t>
  </si>
  <si>
    <t>Silla estacionaria de espera en hierro, tapizado en negro.</t>
  </si>
  <si>
    <t>G-099</t>
  </si>
  <si>
    <t>Azua</t>
  </si>
  <si>
    <t>G-098</t>
  </si>
  <si>
    <t>Silla de espera, color negro</t>
  </si>
  <si>
    <t>G-131</t>
  </si>
  <si>
    <t>G-130</t>
  </si>
  <si>
    <t>G-108</t>
  </si>
  <si>
    <t>Silla de espera tapizada, color negro</t>
  </si>
  <si>
    <t>G-378</t>
  </si>
  <si>
    <t>G-377</t>
  </si>
  <si>
    <t>G-376</t>
  </si>
  <si>
    <t>G-375</t>
  </si>
  <si>
    <t>Recepción. Usuario: Jinette Bretón</t>
  </si>
  <si>
    <t>Silla de espera para visita, tapizada con brazos azul.</t>
  </si>
  <si>
    <t>G-292</t>
  </si>
  <si>
    <t>Recpción.  Usuario Jinette Bretón</t>
  </si>
  <si>
    <t>G-289</t>
  </si>
  <si>
    <t>Silla de espera para visita, tapizada con brazos  azul.</t>
  </si>
  <si>
    <t>G-291</t>
  </si>
  <si>
    <t>Salvador Demallistre</t>
  </si>
  <si>
    <t>Silla de espera en fibra de vidrio color negro</t>
  </si>
  <si>
    <t>G-406</t>
  </si>
  <si>
    <t>Salón de reuniones</t>
  </si>
  <si>
    <t>G-405</t>
  </si>
  <si>
    <t>G-404</t>
  </si>
  <si>
    <t>Silla de espera en fibra de bidrio color negro</t>
  </si>
  <si>
    <t>G-403</t>
  </si>
  <si>
    <t>Set de silla para visita de 4 personas, plastico color negro</t>
  </si>
  <si>
    <t>G-452</t>
  </si>
  <si>
    <t>G-451</t>
  </si>
  <si>
    <t>Set de silla para visita de 3 personas, plastico color negro</t>
  </si>
  <si>
    <t>G-454</t>
  </si>
  <si>
    <t>G-453</t>
  </si>
  <si>
    <t>Industrias Metálicas Omar</t>
  </si>
  <si>
    <t>39 1/2"L X 17 1/2"Ancho</t>
  </si>
  <si>
    <t>Retorno importado 2 gavetas metal derecha 18x39</t>
  </si>
  <si>
    <t>G-119</t>
  </si>
  <si>
    <t>39 1/2L X 17 1/2Ancho</t>
  </si>
  <si>
    <t>Retorno Import. 2 Gvtas Metal Izquierdo 18x39 t/crema</t>
  </si>
  <si>
    <t>G-326</t>
  </si>
  <si>
    <t>18" X 39"</t>
  </si>
  <si>
    <t>Retorno Import. 2 Gvtas Metal Izq. 18x39 t/crema p/crema</t>
  </si>
  <si>
    <t>G-008</t>
  </si>
  <si>
    <t xml:space="preserve">Retorno Imp.2 gavetas Metal izquierdo 18x39 t/crema </t>
  </si>
  <si>
    <t>G-006</t>
  </si>
  <si>
    <t>41L X 17 1/2Ancho</t>
  </si>
  <si>
    <t>Retorno Imp. 2 gavetas Metal derecha 18x39 t/crema</t>
  </si>
  <si>
    <t>G-210</t>
  </si>
  <si>
    <t>41"L X 17 1/2"Ancho</t>
  </si>
  <si>
    <t>Retorno en melanina, color gris.</t>
  </si>
  <si>
    <t>G-106</t>
  </si>
  <si>
    <t>Retorno en melanina, color gris</t>
  </si>
  <si>
    <t>G-127</t>
  </si>
  <si>
    <t xml:space="preserve">Retorno en melanina de dos gavetas importado, color crema </t>
  </si>
  <si>
    <t>G-011</t>
  </si>
  <si>
    <t>Retorno en melanina con 2 gavetas</t>
  </si>
  <si>
    <t>G-192</t>
  </si>
  <si>
    <t>Soluciones Ambientes y Diseños</t>
  </si>
  <si>
    <t>Retorno en madera de andiroba 2 gavetas lustrado</t>
  </si>
  <si>
    <t>G-015</t>
  </si>
  <si>
    <t>18 X 39</t>
  </si>
  <si>
    <t>Kass</t>
  </si>
  <si>
    <t xml:space="preserve">Retorno en estructura metalica de 2 gavetas en metal, tope color haya </t>
  </si>
  <si>
    <t>G-460</t>
  </si>
  <si>
    <t>140853-0</t>
  </si>
  <si>
    <t>LogoMar-ca</t>
  </si>
  <si>
    <t>13228B13</t>
  </si>
  <si>
    <t>9013-13</t>
  </si>
  <si>
    <t>Paymaster</t>
  </si>
  <si>
    <t>Proctetora de Cheque Manual</t>
  </si>
  <si>
    <t>G-002</t>
  </si>
  <si>
    <t>Ofic. Presidente CNSS</t>
  </si>
  <si>
    <t>Porta traje en hierro</t>
  </si>
  <si>
    <t>G-222</t>
  </si>
  <si>
    <t>Porta CPU metalico importado con ruedas color plateado</t>
  </si>
  <si>
    <t>G-526</t>
  </si>
  <si>
    <t>G-525</t>
  </si>
  <si>
    <t>G-524</t>
  </si>
  <si>
    <t>Ord. compra</t>
  </si>
  <si>
    <t>Pedestal  de 2 Gavetas</t>
  </si>
  <si>
    <t>G-264</t>
  </si>
  <si>
    <t xml:space="preserve">60 x 60 </t>
  </si>
  <si>
    <t>Panel para estaciones, en ela azul, bordes gris.</t>
  </si>
  <si>
    <t>G-461</t>
  </si>
  <si>
    <t>Panel compact en acero inoxidable tapizado en tela 60 x 41 x 1 1/2</t>
  </si>
  <si>
    <t xml:space="preserve">Panel  para estaciones de 1.50MTS de alto y 0.70 MTS </t>
  </si>
  <si>
    <t>G-527</t>
  </si>
  <si>
    <t>Anny Bautista y/o Talleres Bautista</t>
  </si>
  <si>
    <t>Mueble en caoba 3 puertas (14 x 53 x 36)</t>
  </si>
  <si>
    <t>G-413</t>
  </si>
  <si>
    <t>Mueble en caoba 3 puertas (13 x 47 x 36)</t>
  </si>
  <si>
    <t>G-414</t>
  </si>
  <si>
    <t>Mueble en caoba 2 puertas (14 x 34 x 36)</t>
  </si>
  <si>
    <t>G-415</t>
  </si>
  <si>
    <t>una tipo archivo con llave</t>
  </si>
  <si>
    <t>Modulo Rodante Mod. 2000 en Melamina con 3 Gtas</t>
  </si>
  <si>
    <t>G-101</t>
  </si>
  <si>
    <t>4717-b</t>
  </si>
  <si>
    <t>Módulo de metal de 3 gvtas con ruedas color aluminio</t>
  </si>
  <si>
    <t>G-427</t>
  </si>
  <si>
    <t>Modulo de 3 Gavetas, Color Negro</t>
  </si>
  <si>
    <t>G-442</t>
  </si>
  <si>
    <t>Modulo de 2 Gtas. Retorno en melanina de dos gavetas, color C.</t>
  </si>
  <si>
    <t>G-021</t>
  </si>
  <si>
    <t>Onesto</t>
  </si>
  <si>
    <t>Modulo de 2 gavetas color negro</t>
  </si>
  <si>
    <t>G-408</t>
  </si>
  <si>
    <t>G-400</t>
  </si>
  <si>
    <t>Modulo 3 gavetas, color gris</t>
  </si>
  <si>
    <t>G-209</t>
  </si>
  <si>
    <t>1.50MTS x 60 pulgada</t>
  </si>
  <si>
    <t xml:space="preserve">Modular de union en L,  para 2 paneles, olor gris  </t>
  </si>
  <si>
    <t>G-462</t>
  </si>
  <si>
    <t>1.50 mts de altura</t>
  </si>
  <si>
    <t>Modular de terminación para estaciones color gris</t>
  </si>
  <si>
    <t>G-464</t>
  </si>
  <si>
    <t>Micro Escritorio Jazz p/PC teclado</t>
  </si>
  <si>
    <t>G-433</t>
  </si>
  <si>
    <t>Mesita para Computadora, LG-6010, 19x39x30 color madera</t>
  </si>
  <si>
    <t>G-273</t>
  </si>
  <si>
    <t>Mesita en madera, color negro de 2 niveles</t>
  </si>
  <si>
    <t>G-211</t>
  </si>
  <si>
    <t>24L X 15 1/2Ancho</t>
  </si>
  <si>
    <t>G-193</t>
  </si>
  <si>
    <t>23 1/2"L X 15 1/2"Ancho</t>
  </si>
  <si>
    <t>Mesita en madera, color negro</t>
  </si>
  <si>
    <t>G-114</t>
  </si>
  <si>
    <t>23 1/2L X 15 1/2Ancho</t>
  </si>
  <si>
    <t>Mesita en madera de 3 niveles, color negro</t>
  </si>
  <si>
    <t>G-329</t>
  </si>
  <si>
    <t>39"L X 18 3/4"Ancho</t>
  </si>
  <si>
    <t>Mesita en madera de 1 gaveta, color crema</t>
  </si>
  <si>
    <t>G-112</t>
  </si>
  <si>
    <t>23L X 16Ancho</t>
  </si>
  <si>
    <t>Mesita en hierro con tope en madera de 3 niveles, color negro</t>
  </si>
  <si>
    <t>G-328</t>
  </si>
  <si>
    <t>15 3/4 X 22Ancho</t>
  </si>
  <si>
    <t>Jaysa</t>
  </si>
  <si>
    <t>Mesita de 3 gavetas.</t>
  </si>
  <si>
    <t>G-163</t>
  </si>
  <si>
    <t>22L X 15 1/2Ancho X 14Alto</t>
  </si>
  <si>
    <t>Mesita de 2 niveles, color gris.</t>
  </si>
  <si>
    <t>G-153</t>
  </si>
  <si>
    <t>Saloncito de espera 7mo. Piso</t>
  </si>
  <si>
    <t>25 3/4 X 25 3/4</t>
  </si>
  <si>
    <t>Mesita cuadrada con base en mármol y  tope de cristal de 2 niveles</t>
  </si>
  <si>
    <t>G-284</t>
  </si>
  <si>
    <t>Mesita circular con base en mármol y  tope de cristal de 2 niveles</t>
  </si>
  <si>
    <t>G-285</t>
  </si>
  <si>
    <t>72L X 30Ancho</t>
  </si>
  <si>
    <t>Mesa retangular base de hierro y tope en madera</t>
  </si>
  <si>
    <t>G-307</t>
  </si>
  <si>
    <t>Efectivo</t>
  </si>
  <si>
    <t>PriceSmart Dominicana</t>
  </si>
  <si>
    <t>Mesa rectangular</t>
  </si>
  <si>
    <t>G-522</t>
  </si>
  <si>
    <t>G-346</t>
  </si>
  <si>
    <t>Descansa en RTVD</t>
  </si>
  <si>
    <t>Mesa Rect. Ref. T259-1 WRUOUTH IRON</t>
  </si>
  <si>
    <t>G-416</t>
  </si>
  <si>
    <t>2007OCT147</t>
  </si>
  <si>
    <t>Mesa plegable 4 x 2</t>
  </si>
  <si>
    <t>G-518</t>
  </si>
  <si>
    <t>G-517</t>
  </si>
  <si>
    <t>G-516</t>
  </si>
  <si>
    <t>G-514</t>
  </si>
  <si>
    <t>G-513</t>
  </si>
  <si>
    <t>G-512</t>
  </si>
  <si>
    <t>G-511</t>
  </si>
  <si>
    <t>G-510</t>
  </si>
  <si>
    <t>G-509</t>
  </si>
  <si>
    <t>Mesa plástica para cuatro personas, color blanco</t>
  </si>
  <si>
    <t>45L X 18 1/2 ancho</t>
  </si>
  <si>
    <t>Mesa para computadora color gris, con ruedas</t>
  </si>
  <si>
    <t>G-362</t>
  </si>
  <si>
    <t>31 1/2L X 23 1/2Ancho</t>
  </si>
  <si>
    <t>Mesa marrón para Fotocopiadora 32x24x28</t>
  </si>
  <si>
    <t>G-009</t>
  </si>
  <si>
    <t>59L X 28Ancho</t>
  </si>
  <si>
    <t>Mesa Escritorio Mod. 1000 en melanina, 28x60 color haya</t>
  </si>
  <si>
    <t>G-169</t>
  </si>
  <si>
    <t>Mesa Escritorio (Retorno) en melanina color haya</t>
  </si>
  <si>
    <t>G-395</t>
  </si>
  <si>
    <t>63"L X 31"Ancho</t>
  </si>
  <si>
    <t>Mesa Escritorio  Mod. 3000, en melamina, 31 x 63</t>
  </si>
  <si>
    <t>G-100</t>
  </si>
  <si>
    <t>Fursys</t>
  </si>
  <si>
    <t>Mesa de conferencia para el CNSS, 9 soportes, 2 topes c/borde</t>
  </si>
  <si>
    <t>G-263</t>
  </si>
  <si>
    <t>Mesa de centro tope rectangular doble</t>
  </si>
  <si>
    <t>G-431</t>
  </si>
  <si>
    <t>98 1/2L X 39 1/2Ancho</t>
  </si>
  <si>
    <t>Mesa Conferencia Soke Italiana 8 personas. 39x98 LG-0220</t>
  </si>
  <si>
    <t>G-184</t>
  </si>
  <si>
    <t>Mesa circular para 10 personas, en metal</t>
  </si>
  <si>
    <t>G-374</t>
  </si>
  <si>
    <t>24" X 40</t>
  </si>
  <si>
    <t xml:space="preserve">Mod.RD100 </t>
  </si>
  <si>
    <t>Mesa ala Bif</t>
  </si>
  <si>
    <t>G-152</t>
  </si>
  <si>
    <t>Maleta con rueda, color negro, para cargar equipo de cómputos</t>
  </si>
  <si>
    <t>G-332</t>
  </si>
  <si>
    <t>58"L X 14"Ancho</t>
  </si>
  <si>
    <t>Librero en caoba de 3 niveles</t>
  </si>
  <si>
    <t>G-136</t>
  </si>
  <si>
    <t>36 1/2L X 14Ancho X 94 1/2Largo</t>
  </si>
  <si>
    <t>G-158</t>
  </si>
  <si>
    <t>Elysee</t>
  </si>
  <si>
    <t>Librero Alto con 2 Puertas Elysee y Puertas de vidrio</t>
  </si>
  <si>
    <t>G-157</t>
  </si>
  <si>
    <t>Laterales color haya</t>
  </si>
  <si>
    <t>G-410</t>
  </si>
  <si>
    <t>Lateral Modular Negro/Haya 19x36</t>
  </si>
  <si>
    <t>G-419</t>
  </si>
  <si>
    <t>39 1/2L X 17 3/4ancho.</t>
  </si>
  <si>
    <t>Lateral Modular Crema 19x36, base metal, tope melamina</t>
  </si>
  <si>
    <t>G-024</t>
  </si>
  <si>
    <t>Jazz Alder Modulo de Recepción en madera, Hutch</t>
  </si>
  <si>
    <t>G-286</t>
  </si>
  <si>
    <t>Recepción 6to. Piso</t>
  </si>
  <si>
    <t>G-044</t>
  </si>
  <si>
    <t>Recepción 1</t>
  </si>
  <si>
    <t>EUROFFICE</t>
  </si>
  <si>
    <t>55 1/2L X 35 1/2Ancho</t>
  </si>
  <si>
    <t>Jazz alder ángulo 90 grados,Modulo de recepción en madera</t>
  </si>
  <si>
    <t>G-354</t>
  </si>
  <si>
    <t>Gaveta de Tela - Negra</t>
  </si>
  <si>
    <t>G-421</t>
  </si>
  <si>
    <t>Extensión derecha para escritorio Harmony</t>
  </si>
  <si>
    <t>G-423</t>
  </si>
  <si>
    <t>Extensión Derecha p/Escritorio Harmony</t>
  </si>
  <si>
    <t>G-428</t>
  </si>
  <si>
    <t xml:space="preserve">3 niveles y 2 puertas </t>
  </si>
  <si>
    <t>Estante en Melamina de 16x36x52 puertas y tramos teka, caoba</t>
  </si>
  <si>
    <t>G-102</t>
  </si>
  <si>
    <t>Escritorio Recto Ejectivo Harmony</t>
  </si>
  <si>
    <t>G-429</t>
  </si>
  <si>
    <t>Harmony</t>
  </si>
  <si>
    <t>G-212</t>
  </si>
  <si>
    <t>Sala de evaluación y calilficación</t>
  </si>
  <si>
    <t>28 X 60</t>
  </si>
  <si>
    <t>Escritorio modular metal  con tope color haya</t>
  </si>
  <si>
    <t>G-459</t>
  </si>
  <si>
    <t>47"L X 27"Ancho</t>
  </si>
  <si>
    <t>Escritorio Modular Import. Metal 28x48, top crema</t>
  </si>
  <si>
    <t>G-118</t>
  </si>
  <si>
    <t>59L X 27Ancho</t>
  </si>
  <si>
    <t>Escritorio Modular imp. Metal 28x60 Tope Crema Ptas. Cr</t>
  </si>
  <si>
    <t>G-325</t>
  </si>
  <si>
    <t>59L X 27 1/2Ancho.</t>
  </si>
  <si>
    <t>Escritorio Modular Imp. Metal 28x60 Tope Crema Ptas. Cr</t>
  </si>
  <si>
    <t>G-023</t>
  </si>
  <si>
    <t>50L X 28Ancho</t>
  </si>
  <si>
    <t>Escritorio Modular Imp. Metal 28x48, top/crema</t>
  </si>
  <si>
    <t>G-191</t>
  </si>
  <si>
    <t>47"L X 27"Ancho.</t>
  </si>
  <si>
    <t>Escritorio en melanina, color negro.</t>
  </si>
  <si>
    <t>G-051</t>
  </si>
  <si>
    <t>28" X 60"</t>
  </si>
  <si>
    <t>Escritorio en melanina, color marrón.</t>
  </si>
  <si>
    <t>G-067</t>
  </si>
  <si>
    <t>G-064</t>
  </si>
  <si>
    <t>G-059</t>
  </si>
  <si>
    <t>50"L X 27"Ancho</t>
  </si>
  <si>
    <t>Escritorio en melanina, color gris.</t>
  </si>
  <si>
    <t>G-126</t>
  </si>
  <si>
    <t>28 x 50</t>
  </si>
  <si>
    <t>Escritorio en melanina, color crema.</t>
  </si>
  <si>
    <t>G-005</t>
  </si>
  <si>
    <t>Escritorio en melanina, color crema</t>
  </si>
  <si>
    <t>G-208</t>
  </si>
  <si>
    <t>Leon G.</t>
  </si>
  <si>
    <t>50 x 28</t>
  </si>
  <si>
    <t>G-146</t>
  </si>
  <si>
    <t>Escritorio en melanina con 2 gavetas, color crema</t>
  </si>
  <si>
    <t>G-105</t>
  </si>
  <si>
    <t>28" X 48"</t>
  </si>
  <si>
    <t>Escritorio en melanina color negro, tope marrón</t>
  </si>
  <si>
    <t>G-086</t>
  </si>
  <si>
    <t>47L X 27 1/2 ancho</t>
  </si>
  <si>
    <t>Escritorio en melanina color gris de dos gavetas</t>
  </si>
  <si>
    <t>G-364</t>
  </si>
  <si>
    <t>50L X 27 1/2 ancho</t>
  </si>
  <si>
    <t>Escritorio en melanina color crema</t>
  </si>
  <si>
    <t>G-379</t>
  </si>
  <si>
    <t>28 X 48"</t>
  </si>
  <si>
    <t>Escritorio en estructura metal color negro y tope en melanina color haya</t>
  </si>
  <si>
    <t>G-407</t>
  </si>
  <si>
    <t>28 X 60"</t>
  </si>
  <si>
    <t>G-399</t>
  </si>
  <si>
    <t>62"L X 31"Ancho</t>
  </si>
  <si>
    <t>Escritorio en caoba tipo L de 3 gavetas y una puerta.</t>
  </si>
  <si>
    <t>G-134</t>
  </si>
  <si>
    <t>63L X 31 ancho</t>
  </si>
  <si>
    <t>Escritorio en caoba con tope de cristal y dos gavetas negras</t>
  </si>
  <si>
    <t>G-385</t>
  </si>
  <si>
    <t>63L X 31Ancho</t>
  </si>
  <si>
    <t>Escritorio en caoba</t>
  </si>
  <si>
    <t>G-014</t>
  </si>
  <si>
    <t>24 X 39 X 29</t>
  </si>
  <si>
    <t>Escritorio con dos gavetas</t>
  </si>
  <si>
    <t>G-401</t>
  </si>
  <si>
    <t>28 x 50 x 30</t>
  </si>
  <si>
    <t>Escritorio Color Negro, Base Metal Tope Melanina</t>
  </si>
  <si>
    <t>G-441</t>
  </si>
  <si>
    <t>40" X 79"</t>
  </si>
  <si>
    <t xml:space="preserve">Mod.RD200 </t>
  </si>
  <si>
    <t xml:space="preserve">Escritorio Bif </t>
  </si>
  <si>
    <t>G-151</t>
  </si>
  <si>
    <t>D-6024-2</t>
  </si>
  <si>
    <t>Werne</t>
  </si>
  <si>
    <t>Escalera Extensible, Fibra 24</t>
  </si>
  <si>
    <t>G-437</t>
  </si>
  <si>
    <t>Dpto. Adm. -Suministro</t>
  </si>
  <si>
    <t>RK00064P (OHD0477)</t>
  </si>
  <si>
    <t>Kombo</t>
  </si>
  <si>
    <t>Ibico</t>
  </si>
  <si>
    <t>Encuadernadora</t>
  </si>
  <si>
    <t>G-382</t>
  </si>
  <si>
    <t>OHPO477</t>
  </si>
  <si>
    <t>IBICO</t>
  </si>
  <si>
    <t>G-116</t>
  </si>
  <si>
    <t>Credenza Harmony</t>
  </si>
  <si>
    <t>G-422</t>
  </si>
  <si>
    <t>59"L X 17"Ancho</t>
  </si>
  <si>
    <t>Credenza en caoba de 4 gavetas y 2 puertas</t>
  </si>
  <si>
    <t>G-135</t>
  </si>
  <si>
    <t>47L X 18Ancho</t>
  </si>
  <si>
    <t>Credenza de 1 puerta y 1 gaveta, Harmony</t>
  </si>
  <si>
    <t>G-215</t>
  </si>
  <si>
    <t>69L X 23Ancho</t>
  </si>
  <si>
    <t xml:space="preserve">Credenza Bif </t>
  </si>
  <si>
    <t>G-155</t>
  </si>
  <si>
    <t>90L X 54 ancho</t>
  </si>
  <si>
    <t>Cortina verticales color marrón</t>
  </si>
  <si>
    <t>G-390</t>
  </si>
  <si>
    <t>G-389</t>
  </si>
  <si>
    <t>90L X 59 ancho</t>
  </si>
  <si>
    <t>G-381</t>
  </si>
  <si>
    <t>90ancho X 59 largo</t>
  </si>
  <si>
    <t>G-372</t>
  </si>
  <si>
    <t>G-371</t>
  </si>
  <si>
    <t>Deco Americana</t>
  </si>
  <si>
    <t>64 x 52</t>
  </si>
  <si>
    <t>Cortina Vertical</t>
  </si>
  <si>
    <t>G-446</t>
  </si>
  <si>
    <t>G-445</t>
  </si>
  <si>
    <t>D' Colores Toldos</t>
  </si>
  <si>
    <t>26x65</t>
  </si>
  <si>
    <t>Cortina en madera, mahogany</t>
  </si>
  <si>
    <t>G-436</t>
  </si>
  <si>
    <t>Miami´s Design</t>
  </si>
  <si>
    <t>68Ancho X 70L</t>
  </si>
  <si>
    <t>G-321</t>
  </si>
  <si>
    <t>G-320</t>
  </si>
  <si>
    <t>Miami's Design</t>
  </si>
  <si>
    <t>50Ancho X 82L</t>
  </si>
  <si>
    <t>G-290</t>
  </si>
  <si>
    <t>G-280</t>
  </si>
  <si>
    <t>68 Ancho X 81L</t>
  </si>
  <si>
    <t>G-177</t>
  </si>
  <si>
    <t>25 x72</t>
  </si>
  <si>
    <t>G-141</t>
  </si>
  <si>
    <t>37 x 68</t>
  </si>
  <si>
    <t>G-140</t>
  </si>
  <si>
    <t>96 x 70</t>
  </si>
  <si>
    <t>G-138</t>
  </si>
  <si>
    <t>70 x 96</t>
  </si>
  <si>
    <t>G-124</t>
  </si>
  <si>
    <t>D' Colores Toldos, S.A.</t>
  </si>
  <si>
    <t>67"L X 35"Ancho</t>
  </si>
  <si>
    <t>G-123</t>
  </si>
  <si>
    <t>68"L X 44"Ancho</t>
  </si>
  <si>
    <t>G-083</t>
  </si>
  <si>
    <t>70.25 x 68</t>
  </si>
  <si>
    <t>G-082</t>
  </si>
  <si>
    <t>G-081</t>
  </si>
  <si>
    <t>G-080</t>
  </si>
  <si>
    <t>70 x 68</t>
  </si>
  <si>
    <t>G-079</t>
  </si>
  <si>
    <t>66"L X 44 1/2"Ancho</t>
  </si>
  <si>
    <t>G-061</t>
  </si>
  <si>
    <t>Miami's Desing</t>
  </si>
  <si>
    <t>33.75 x 68</t>
  </si>
  <si>
    <t>36.75x68</t>
  </si>
  <si>
    <t>G-041</t>
  </si>
  <si>
    <t>70"X 68"</t>
  </si>
  <si>
    <t>G-040</t>
  </si>
  <si>
    <t>68 x 32 1/2</t>
  </si>
  <si>
    <t>G-039</t>
  </si>
  <si>
    <t>70.50 x 69</t>
  </si>
  <si>
    <t>Cortina en madera, baltic oscuro</t>
  </si>
  <si>
    <t>G-272</t>
  </si>
  <si>
    <t>G-271</t>
  </si>
  <si>
    <t>G-270</t>
  </si>
  <si>
    <t>G-269</t>
  </si>
  <si>
    <t>G-268</t>
  </si>
  <si>
    <t>70.50 x 69.50</t>
  </si>
  <si>
    <t>G-267</t>
  </si>
  <si>
    <t>70.25 x 69</t>
  </si>
  <si>
    <t>G-225</t>
  </si>
  <si>
    <t>G-223</t>
  </si>
  <si>
    <t>70.25 x 68.75</t>
  </si>
  <si>
    <t>G-205</t>
  </si>
  <si>
    <t>55 x 81</t>
  </si>
  <si>
    <t>G-204</t>
  </si>
  <si>
    <t>137 X 79</t>
  </si>
  <si>
    <t>G-188</t>
  </si>
  <si>
    <t>70 x 68.5</t>
  </si>
  <si>
    <t>G-186</t>
  </si>
  <si>
    <t>85 x 81</t>
  </si>
  <si>
    <t>G-168</t>
  </si>
  <si>
    <t>86 x 81</t>
  </si>
  <si>
    <t>G-167</t>
  </si>
  <si>
    <t>68.5 x 81</t>
  </si>
  <si>
    <t>G-166</t>
  </si>
  <si>
    <t>67 x 34</t>
  </si>
  <si>
    <t>Cortina de madera</t>
  </si>
  <si>
    <t>G-132</t>
  </si>
  <si>
    <t>68 x 44.50</t>
  </si>
  <si>
    <t>G-109</t>
  </si>
  <si>
    <t>G-043</t>
  </si>
  <si>
    <t>Conexion de un panel a pared de concreto</t>
  </si>
  <si>
    <t>G-463</t>
  </si>
  <si>
    <t>Carrito tipo bar, para servir café, en hierro con tope en madera</t>
  </si>
  <si>
    <t>G-306</t>
  </si>
  <si>
    <t>Butacas estacionarias fl base de patin azul</t>
  </si>
  <si>
    <t>G-161</t>
  </si>
  <si>
    <t>G-160</t>
  </si>
  <si>
    <t>G-176</t>
  </si>
  <si>
    <t>Mod. 610</t>
  </si>
  <si>
    <t>Butacas estacionaria Mod. 610 con brazos tapiz. Tela Azúl</t>
  </si>
  <si>
    <t>G-175</t>
  </si>
  <si>
    <t>Butaca para visita, color negro</t>
  </si>
  <si>
    <t>G-342</t>
  </si>
  <si>
    <t>Butaca OPIUM T/BOLT SPALMATURA</t>
  </si>
  <si>
    <t>G-418</t>
  </si>
  <si>
    <t>Butaca de espera en tela color gris</t>
  </si>
  <si>
    <t>G-368</t>
  </si>
  <si>
    <t>G-367</t>
  </si>
  <si>
    <t>Burrito en hierro para botellones de agua</t>
  </si>
  <si>
    <t>G-322</t>
  </si>
  <si>
    <t>Cocina 6to.piso</t>
  </si>
  <si>
    <t>Botiquin, color blanco</t>
  </si>
  <si>
    <t>G-323</t>
  </si>
  <si>
    <t>Armario p/oficina 18x36x72, importado crema, paneles móvil</t>
  </si>
  <si>
    <t>G-054</t>
  </si>
  <si>
    <t>Armario p/oficina 18x36x72, Import. Crema, paneles móvil</t>
  </si>
  <si>
    <t>G-084</t>
  </si>
  <si>
    <t xml:space="preserve">Sótano  </t>
  </si>
  <si>
    <t>18" X 36" X 72"</t>
  </si>
  <si>
    <t>G-071</t>
  </si>
  <si>
    <t>Armario p/oficina 18x36x72, Imp. Crema, paneles movil</t>
  </si>
  <si>
    <t>G-145</t>
  </si>
  <si>
    <t>Of. Regional S.P.M</t>
  </si>
  <si>
    <t>G-110</t>
  </si>
  <si>
    <t>Leon G</t>
  </si>
  <si>
    <t>18x36x72</t>
  </si>
  <si>
    <t>Armario en metal de 2 puertas, color crema.</t>
  </si>
  <si>
    <t>G-097</t>
  </si>
  <si>
    <t>Armario en metal de 2 puertas, color crema, 18x36x27</t>
  </si>
  <si>
    <t>G-055</t>
  </si>
  <si>
    <t>Armario en metal de 2 puertas, color crema 18x36x4</t>
  </si>
  <si>
    <t>G-062</t>
  </si>
  <si>
    <t>Armario en melanine color gris</t>
  </si>
  <si>
    <t>G-397</t>
  </si>
  <si>
    <t>85L X 38 3/4Ancho</t>
  </si>
  <si>
    <t>Armario en madera de una puerta doble</t>
  </si>
  <si>
    <t>G-030</t>
  </si>
  <si>
    <t>G-029</t>
  </si>
  <si>
    <t>G-028</t>
  </si>
  <si>
    <t>Orden de C.</t>
  </si>
  <si>
    <t>Taller Ebanistería Bautista y/o Anny Bautista</t>
  </si>
  <si>
    <t>31 1/4L X 27Ancho</t>
  </si>
  <si>
    <t>Armario en madera de 2 puertas</t>
  </si>
  <si>
    <t>G-032</t>
  </si>
  <si>
    <t>Taller Ebanisteria Bautista</t>
  </si>
  <si>
    <t>85L X 30 1/4Ancho</t>
  </si>
  <si>
    <t>G-031</t>
  </si>
  <si>
    <t>Area de archivo</t>
  </si>
  <si>
    <t>Armario de 2 puertas, color crema</t>
  </si>
  <si>
    <t>G-111</t>
  </si>
  <si>
    <t>16Ancho X 80L</t>
  </si>
  <si>
    <t>Armario de 1 puertas en caoba</t>
  </si>
  <si>
    <t>G-324</t>
  </si>
  <si>
    <t>Archivo Oficio Omar 2 Gvtas. Crema p/forders 81/2x14</t>
  </si>
  <si>
    <t>G-045</t>
  </si>
  <si>
    <t>G-074</t>
  </si>
  <si>
    <t>Dpto. Administrativo</t>
  </si>
  <si>
    <t>Archivo Oficio duramax, 2 gvtas, color crema, p/folders</t>
  </si>
  <si>
    <t>G-072</t>
  </si>
  <si>
    <t>Archivo Oficio duramax de 4 gavetas, color crema, p/folders</t>
  </si>
  <si>
    <t>G-018</t>
  </si>
  <si>
    <t>Archivo modular de 3 gavetas con ruedas color plateado</t>
  </si>
  <si>
    <t>G-455</t>
  </si>
  <si>
    <t>Archivo modular de 2 gavetas con ruedas color plateado</t>
  </si>
  <si>
    <t>G-458</t>
  </si>
  <si>
    <t>G-457</t>
  </si>
  <si>
    <t>G-456</t>
  </si>
  <si>
    <t>Archivo en metal de 2 gavetas color gris</t>
  </si>
  <si>
    <t>G-412</t>
  </si>
  <si>
    <t>Dominicanan de Oficina, S. A.</t>
  </si>
  <si>
    <t>8 1/2 x 13</t>
  </si>
  <si>
    <t>Archivo en metal 4 gavetas, color crema.</t>
  </si>
  <si>
    <t>G-185</t>
  </si>
  <si>
    <t>Ofiic. Pte. CNSS</t>
  </si>
  <si>
    <t>Archivo en madera de 2 gavetas</t>
  </si>
  <si>
    <t>G-214</t>
  </si>
  <si>
    <t>Segundo cubículo ofic.</t>
  </si>
  <si>
    <t>Archivo de cuatro gavetas color gris</t>
  </si>
  <si>
    <t>G-369</t>
  </si>
  <si>
    <t>Archivo de 4 Gvtas. 8 1/2 x 13</t>
  </si>
  <si>
    <t>G-121</t>
  </si>
  <si>
    <t>Archivo de 4 gavetas, color gris.</t>
  </si>
  <si>
    <t>G-148</t>
  </si>
  <si>
    <t>Archivo de 2 gavetas, color gris, 8 1/2 x 13</t>
  </si>
  <si>
    <t>G-070</t>
  </si>
  <si>
    <t>Archivo de 4 gavetas, color gris</t>
  </si>
  <si>
    <t>G-345</t>
  </si>
  <si>
    <t>G-344</t>
  </si>
  <si>
    <t>G-068</t>
  </si>
  <si>
    <t>Archivo de 4 gavetas, color crema.</t>
  </si>
  <si>
    <t>G-056</t>
  </si>
  <si>
    <t>Archivo de 4 gavetas en melanina, color haya</t>
  </si>
  <si>
    <t>G-394</t>
  </si>
  <si>
    <t>Archivo de 4 gavetas</t>
  </si>
  <si>
    <t>G-198</t>
  </si>
  <si>
    <t>G-197</t>
  </si>
  <si>
    <t>6to.piso, Of. Gte.Sist. Provisional</t>
  </si>
  <si>
    <t>G-196</t>
  </si>
  <si>
    <t>Ofiventas, S. A.</t>
  </si>
  <si>
    <t>G-129</t>
  </si>
  <si>
    <t>Archivo de 3 gavetas</t>
  </si>
  <si>
    <t>G-288</t>
  </si>
  <si>
    <t>G-063</t>
  </si>
  <si>
    <t>Archivo de 2 Gvtas. 8 1/2 x 13</t>
  </si>
  <si>
    <t>G-052</t>
  </si>
  <si>
    <t>8 /12 x 11</t>
  </si>
  <si>
    <t>Archivo de 2 gavetas, color gris.</t>
  </si>
  <si>
    <t>G-096</t>
  </si>
  <si>
    <t>G-095</t>
  </si>
  <si>
    <t>G-091</t>
  </si>
  <si>
    <t>G-090</t>
  </si>
  <si>
    <t>G-089</t>
  </si>
  <si>
    <t>G-088</t>
  </si>
  <si>
    <t>Archivo de 2 gavetas, color gris</t>
  </si>
  <si>
    <t>G-343</t>
  </si>
  <si>
    <t>Archivo de 2 gavetas, color crema, 8 1/2 x 13</t>
  </si>
  <si>
    <t>G-104</t>
  </si>
  <si>
    <t>G-103</t>
  </si>
  <si>
    <t>Archivo de 2 gavetas, Color crema</t>
  </si>
  <si>
    <t>G-117</t>
  </si>
  <si>
    <t>Archivo de 2 gavetas, color crema</t>
  </si>
  <si>
    <t>G-085</t>
  </si>
  <si>
    <t>Ofiventas, S.A.</t>
  </si>
  <si>
    <t>Archivo de 2 gavetas en metal</t>
  </si>
  <si>
    <t>Archivo de 2 gavetas en madera.</t>
  </si>
  <si>
    <t>G-171</t>
  </si>
  <si>
    <t>G-170</t>
  </si>
  <si>
    <t>Archivo de 2 gavetas color gris</t>
  </si>
  <si>
    <t>G-076</t>
  </si>
  <si>
    <t>Archivo de 2 gavetas</t>
  </si>
  <si>
    <t>G-199</t>
  </si>
  <si>
    <t>G-195</t>
  </si>
  <si>
    <t>G-194</t>
  </si>
  <si>
    <t>Archivo contra incendio de 4 gavetas</t>
  </si>
  <si>
    <t>G-430</t>
  </si>
  <si>
    <t>Usuario Miosotis C.</t>
  </si>
  <si>
    <t>G-396</t>
  </si>
  <si>
    <t>G-426</t>
  </si>
  <si>
    <t>Archivo 4 Gavetas Color Crema</t>
  </si>
  <si>
    <t>G-019</t>
  </si>
  <si>
    <t>Archivo 4 Gavetas</t>
  </si>
  <si>
    <t>G-443</t>
  </si>
  <si>
    <t>8 1/2x14</t>
  </si>
  <si>
    <t>Arch Importad. Oficio Omar de 4 gavtas. Crema p/folder</t>
  </si>
  <si>
    <t>G-174</t>
  </si>
  <si>
    <t xml:space="preserve">90Ancho </t>
  </si>
  <si>
    <t>Acta para la bandera en caoba</t>
  </si>
  <si>
    <t>G-266</t>
  </si>
  <si>
    <t>G-265</t>
  </si>
  <si>
    <t>Inventario de Activos Fijos (Equipos y Muebles de Oficina)</t>
  </si>
  <si>
    <t>Obras de Arte y Elementos Coleccionables Contraloria General CNSS</t>
  </si>
  <si>
    <t>CUISINART</t>
  </si>
  <si>
    <t>CBT-500</t>
  </si>
  <si>
    <t>Acumulada a la Fecha</t>
  </si>
  <si>
    <t>Fehca de Adquisición</t>
  </si>
  <si>
    <t>Bomba para lavado a presión B&amp;D 3000PSI  DPD3000 Ref. 313100</t>
  </si>
  <si>
    <t>Resmumén Inventario de Activos Fijos</t>
  </si>
  <si>
    <t>Maquinarias y Equipos de Producción</t>
  </si>
  <si>
    <t>Equipos de Transporte, Tracción y Elevación</t>
  </si>
  <si>
    <t>Equipos Médicos, Sanitarios y Veterinarios</t>
  </si>
  <si>
    <t>Equipos de Comunicación y Señalamiento</t>
  </si>
  <si>
    <t>Equipos y Muebles para Oficinas</t>
  </si>
  <si>
    <t>Equipos Varios</t>
  </si>
  <si>
    <t>Edificios</t>
  </si>
  <si>
    <t>Obras de Arte y Elementos Coleccionables</t>
  </si>
  <si>
    <t>Monto</t>
  </si>
  <si>
    <t>Programas de Computación</t>
  </si>
  <si>
    <t>Licencias Informáticas</t>
  </si>
  <si>
    <t xml:space="preserve">Equipos de Computación </t>
  </si>
  <si>
    <t>Valor en Libros Ajustado</t>
  </si>
  <si>
    <t>Terrenos</t>
  </si>
  <si>
    <t xml:space="preserve">Monitor LCD Flat 19"  </t>
  </si>
  <si>
    <t xml:space="preserve">HP </t>
  </si>
  <si>
    <t>Compaq LE1911</t>
  </si>
  <si>
    <t>CNK2090ZJ1</t>
  </si>
  <si>
    <t>OFFICELINE, SRL</t>
  </si>
  <si>
    <t>A010010011500000524</t>
  </si>
  <si>
    <t>CNK2090ZJD</t>
  </si>
  <si>
    <t>CNK2090ZJN</t>
  </si>
  <si>
    <t>CNK2090ZJ3</t>
  </si>
  <si>
    <t>CNK2090ZJ4</t>
  </si>
  <si>
    <t>CNK2090ZJ5</t>
  </si>
  <si>
    <t>CNK2090ZJ6</t>
  </si>
  <si>
    <t>CNK2090ZJ8</t>
  </si>
  <si>
    <t>CNK2090ZHV</t>
  </si>
  <si>
    <t>CNK2090ZWW3</t>
  </si>
  <si>
    <t>NC Computing L300, con Software y accesorios.</t>
  </si>
  <si>
    <t>L300</t>
  </si>
  <si>
    <t>A030010011500000398</t>
  </si>
  <si>
    <t>MULTICOMPUTOS, S.R.L.</t>
  </si>
  <si>
    <t>FUJITSU</t>
  </si>
  <si>
    <t>FI-6130Z</t>
  </si>
  <si>
    <t>Switch Cisco Small Business 300</t>
  </si>
  <si>
    <t>Cisco</t>
  </si>
  <si>
    <t>SG300-28P</t>
  </si>
  <si>
    <t>DNI1552007E</t>
  </si>
  <si>
    <t>DNI153303DR</t>
  </si>
  <si>
    <t>DNI1552007P</t>
  </si>
  <si>
    <t>DNI1552007T</t>
  </si>
  <si>
    <t>Microfono Sennheiser Delegate</t>
  </si>
  <si>
    <t>Sennheiser</t>
  </si>
  <si>
    <t>8200 DC</t>
  </si>
  <si>
    <t>121-6</t>
  </si>
  <si>
    <t>A010010011500000240</t>
  </si>
  <si>
    <t xml:space="preserve">VPL-EX145 3100 </t>
  </si>
  <si>
    <t xml:space="preserve">DRAPER BARONET </t>
  </si>
  <si>
    <t>Pantalla Eléctrica 100"</t>
  </si>
  <si>
    <t>A010010011500000362</t>
  </si>
  <si>
    <t>Determinación Costo Final de Activos Fijos</t>
  </si>
  <si>
    <t>(Valores en RD$)</t>
  </si>
  <si>
    <t>Cheque No.</t>
  </si>
  <si>
    <t>Beneficiario</t>
  </si>
  <si>
    <t>Concepto</t>
  </si>
  <si>
    <t>Pago  por la adquisición de Activos Fijos</t>
  </si>
  <si>
    <t>Sub-total</t>
  </si>
  <si>
    <t>Descuento</t>
  </si>
  <si>
    <t>Sub-total antes de Itbis</t>
  </si>
  <si>
    <t>Itbis</t>
  </si>
  <si>
    <t>Multiplicador</t>
  </si>
  <si>
    <t>Valor Ajustado</t>
  </si>
  <si>
    <t>Activos Fijos</t>
  </si>
  <si>
    <t>PROYECTOR</t>
  </si>
  <si>
    <t>PANTALLA ELECTRICA</t>
  </si>
  <si>
    <t>Otros Costos</t>
  </si>
  <si>
    <t xml:space="preserve">INSTALACION </t>
  </si>
  <si>
    <t>REANUDACION TECHO</t>
  </si>
  <si>
    <t>Factor Multiplicador  = Otros Costos/Activos Fijos</t>
  </si>
  <si>
    <t>A010010011500000763</t>
  </si>
  <si>
    <t xml:space="preserve">Monitor Flat Panel 17"  </t>
  </si>
  <si>
    <t>CLL19S1</t>
  </si>
  <si>
    <t>CLLXNS1</t>
  </si>
  <si>
    <t>CLLYNS1</t>
  </si>
  <si>
    <t>CLLZNS1</t>
  </si>
  <si>
    <t>CLMOPS1</t>
  </si>
  <si>
    <t>CLM1PS1</t>
  </si>
  <si>
    <t>CLMWNS1</t>
  </si>
  <si>
    <t>CLMYNS1</t>
  </si>
  <si>
    <t>CLMZNS1</t>
  </si>
  <si>
    <t>CLN1PS1</t>
  </si>
  <si>
    <t>CN-0HF0K3-64180</t>
  </si>
  <si>
    <t>23L-3HUM</t>
  </si>
  <si>
    <t>23L-3JBM</t>
  </si>
  <si>
    <t>23L-3HZM</t>
  </si>
  <si>
    <t>23L-3JAM</t>
  </si>
  <si>
    <t>23L-3J8M</t>
  </si>
  <si>
    <t>23L-3HMM</t>
  </si>
  <si>
    <t>23L-3HDM</t>
  </si>
  <si>
    <t>23L-3HPM</t>
  </si>
  <si>
    <t>22H-352U</t>
  </si>
  <si>
    <t>Caja de Disco Nas de 8TB Lomenga</t>
  </si>
  <si>
    <t>Lomega</t>
  </si>
  <si>
    <t>EPSON</t>
  </si>
  <si>
    <t>Proyector Epson Powerlite</t>
  </si>
  <si>
    <t>Powerlite S12+2800</t>
  </si>
  <si>
    <t>Pantalla Para Proyector Klip 120 con Tripode KPS-104</t>
  </si>
  <si>
    <t>KLIP 120</t>
  </si>
  <si>
    <t>A010010011500000788</t>
  </si>
  <si>
    <t>PSK2408599</t>
  </si>
  <si>
    <t>COMISION</t>
  </si>
  <si>
    <t>Estante con puertas Baja en Melamina Haya de 40x90x150 cms</t>
  </si>
  <si>
    <t>A010010011500000904</t>
  </si>
  <si>
    <t>Credenza en Melamina C/Haya de 40x150 cms P/Corredizas</t>
  </si>
  <si>
    <t>Tope en Melamina, sin pasa cables, de 180x80x2.5 cms C/Haya</t>
  </si>
  <si>
    <t>JN-012</t>
  </si>
  <si>
    <t>Pata Tubular Aluminio, Importada</t>
  </si>
  <si>
    <t>Credenza en Melamina C/Caoba de 40x180 cms P/Corredizas</t>
  </si>
  <si>
    <t>A010010011500000905</t>
  </si>
  <si>
    <t>A010020011500002009</t>
  </si>
  <si>
    <t>Archivo lateral IBK-11 4 GAV. B-09 Silver</t>
  </si>
  <si>
    <t>Set de silla p/visita plástica TCV434P-4S azul</t>
  </si>
  <si>
    <t>Silla p/visita c/b apilable H101A2/TCV434A</t>
  </si>
  <si>
    <t>Sillón ejecutivo AZ01 azul</t>
  </si>
  <si>
    <t>A010010011500000396</t>
  </si>
  <si>
    <t>Medi-Equipos, SRL</t>
  </si>
  <si>
    <t>Camilla de examen articulada de 3 posiciones, color beige</t>
  </si>
  <si>
    <t>A010010011500002897</t>
  </si>
  <si>
    <t>Esfino Aneroide pared</t>
  </si>
  <si>
    <t>Banquito de pie p/subir camilla</t>
  </si>
  <si>
    <t>Balanza adulto con talleme</t>
  </si>
  <si>
    <t>Negastocopio de 1 cuerpo</t>
  </si>
  <si>
    <t>Total 2011</t>
  </si>
  <si>
    <t>Serviamed Dominicana, S. A.</t>
  </si>
  <si>
    <t>Improficinas</t>
  </si>
  <si>
    <t>A010010021500004162</t>
  </si>
  <si>
    <t>Mesa de conferencia redonda de 48, base y tope haya</t>
  </si>
  <si>
    <t>S-R122</t>
  </si>
  <si>
    <t>LB-LWB1.5</t>
  </si>
  <si>
    <t>A010030021500008291</t>
  </si>
  <si>
    <t>Lasco</t>
  </si>
  <si>
    <t>Abanico de piso</t>
  </si>
  <si>
    <t>A010030031500007946</t>
  </si>
  <si>
    <t>Nevera</t>
  </si>
  <si>
    <t>C402SLC</t>
  </si>
  <si>
    <t>A010030031500007842</t>
  </si>
  <si>
    <t>A040030021500004185</t>
  </si>
  <si>
    <t>Silla plástica s/brazos</t>
  </si>
  <si>
    <t>Archivo Lateral 4 Gavetas, color haya, med:16 x 36 x 53.5</t>
  </si>
  <si>
    <t>SW-04/129</t>
  </si>
  <si>
    <t>A010010021500004214</t>
  </si>
  <si>
    <t>A010040021500000605</t>
  </si>
  <si>
    <t>Armario 4 puertas superiores c/cristal, Mel, Caoba, 40 x 90 x 185H</t>
  </si>
  <si>
    <t>A010010011500000925</t>
  </si>
  <si>
    <t>Enterprice A811a</t>
  </si>
  <si>
    <t>CQ514A</t>
  </si>
  <si>
    <t>A030010011500005962</t>
  </si>
  <si>
    <t>Tostadora</t>
  </si>
  <si>
    <t>A070010021500004380</t>
  </si>
  <si>
    <t xml:space="preserve">Aspiradora </t>
  </si>
  <si>
    <t>RIDGIT</t>
  </si>
  <si>
    <t>WET/DRY</t>
  </si>
  <si>
    <t>A010090031500001978</t>
  </si>
  <si>
    <t>Televisor LCD 42"</t>
  </si>
  <si>
    <t>M/42CS560</t>
  </si>
  <si>
    <t>A010030031500009119</t>
  </si>
  <si>
    <t xml:space="preserve"> XEROX</t>
  </si>
  <si>
    <t>XNE132729</t>
  </si>
  <si>
    <t>OD DOMINICANA CORP.</t>
  </si>
  <si>
    <t>A010010011500000546</t>
  </si>
  <si>
    <t>AREA COMUN 6TO PISO</t>
  </si>
  <si>
    <t>Impresora Multifuncional</t>
  </si>
  <si>
    <t>Color Qube 9303</t>
  </si>
  <si>
    <t>UNIFIED COMMUNICATIONS T.</t>
  </si>
  <si>
    <t>A010010011500000037/039</t>
  </si>
  <si>
    <t>Solución De Seguridad Unificada (UTM)</t>
  </si>
  <si>
    <t>18206/164/028</t>
  </si>
  <si>
    <t xml:space="preserve"> HP</t>
  </si>
  <si>
    <t>EliteBook 8470</t>
  </si>
  <si>
    <t>Laptop</t>
  </si>
  <si>
    <t>Laptop Proc. Core i5, Familia 3210m, 2.5 Ghz, Pantalla de 14”, 500 GB Disco Duro, DVD, Bulto de Nylon., 3 años de Garantia</t>
  </si>
  <si>
    <t>CNU312BVXX</t>
  </si>
  <si>
    <t xml:space="preserve">CNU312BVXY </t>
  </si>
  <si>
    <t>CNU312BVXS</t>
  </si>
  <si>
    <t>CNU312BVY3</t>
  </si>
  <si>
    <t>CNU312BVY7</t>
  </si>
  <si>
    <t>CNU312BVY1</t>
  </si>
  <si>
    <t>SINERGIT, S.A.</t>
  </si>
  <si>
    <t>A010010031500001055</t>
  </si>
  <si>
    <t>18031/162/191</t>
  </si>
  <si>
    <t>IPAD 4 WI-FI + CEL 64GB BLACK</t>
  </si>
  <si>
    <t xml:space="preserve">APPLE NEW </t>
  </si>
  <si>
    <t>IPAD</t>
  </si>
  <si>
    <t>SDMPK50FBF18C</t>
  </si>
  <si>
    <t>A030010011500006442</t>
  </si>
  <si>
    <t>Adiciones Junio 2013</t>
  </si>
  <si>
    <t>IMPRESORA MULTIFUNCIONAL  CANON IR-1730</t>
  </si>
  <si>
    <t>CANON</t>
  </si>
  <si>
    <t>IR-1730</t>
  </si>
  <si>
    <t>SYNTES, S.R.L.</t>
  </si>
  <si>
    <t>A060010011500001240</t>
  </si>
  <si>
    <t>18029/161/205</t>
  </si>
  <si>
    <t>HHC13824</t>
  </si>
  <si>
    <t>HHC13986</t>
  </si>
  <si>
    <t>HHC13981</t>
  </si>
  <si>
    <t>HHC13839</t>
  </si>
  <si>
    <t>A010010011500001527</t>
  </si>
  <si>
    <t>A020010021500001793</t>
  </si>
  <si>
    <t>Pódium acrílico transparente de 3/4 tamaño 44"x24"x18" en vynil adhesivo.</t>
  </si>
  <si>
    <t>NG MEDIA</t>
  </si>
  <si>
    <t>MERCURY</t>
  </si>
  <si>
    <t>Archivo de alta densidad de 3 carros (2 sencillos, 1 doble),36x96x84</t>
  </si>
  <si>
    <t>MUEBLES OMAR</t>
  </si>
  <si>
    <t>A020010021500001914</t>
  </si>
  <si>
    <t>Lectores biométricos para el control de asistencias</t>
  </si>
  <si>
    <t>JEWARETECH SOLUTIONS, S.A</t>
  </si>
  <si>
    <t>A010010011500000006</t>
  </si>
  <si>
    <t>Pedestal tipo F P/Impresora IR-1730/1750</t>
  </si>
  <si>
    <t>IR-1730/1750</t>
  </si>
  <si>
    <t>A060010011500001260</t>
  </si>
  <si>
    <t>CMN-I</t>
  </si>
  <si>
    <t>CMN-II</t>
  </si>
  <si>
    <t>CONTABILIDAD</t>
  </si>
  <si>
    <t>GERENCIA GRAL CNSS</t>
  </si>
  <si>
    <t>COUNTER MOD. LUIGGY 83X58 MADRA LAMINADA</t>
  </si>
  <si>
    <t>COUNTER MOD. LUIGGY 54X35 MADRA LAMINADA</t>
  </si>
  <si>
    <t>MOD. LUIGGY</t>
  </si>
  <si>
    <t>ARTI OFIC, SRL</t>
  </si>
  <si>
    <t>A010010011500000036</t>
  </si>
  <si>
    <t>LOBBY 1ER PISO CNSS</t>
  </si>
  <si>
    <t>RECEPCION 6TA CNSS</t>
  </si>
  <si>
    <t>RECEPCION 7MA CNSS</t>
  </si>
  <si>
    <t>IDENTIFICACIONES CORPORATIVAS SRL</t>
  </si>
  <si>
    <t>ANEXO COUNTER MOD. LUIGGY 54X35 MADRA LAMINADA</t>
  </si>
  <si>
    <t>ANEXO COUNTER MOD. LUIGGY 83X58 MADRA LAMINADA</t>
  </si>
  <si>
    <t>A010010011500000056</t>
  </si>
  <si>
    <t>RECEPTOR INALAMBRICO P/ CONTROL REMOTO</t>
  </si>
  <si>
    <t>CONTRO REMOTO DE 2 BOTONES</t>
  </si>
  <si>
    <t>BARRERAS VEHICULAR, CON SATA DE 4MTS</t>
  </si>
  <si>
    <t>VERG</t>
  </si>
  <si>
    <t>ID CORPS, SRL</t>
  </si>
  <si>
    <t>A010010011500001086</t>
  </si>
  <si>
    <t>A010010011500001087</t>
  </si>
  <si>
    <t>18528/529/555</t>
  </si>
  <si>
    <t>Total Acumulado 2013</t>
  </si>
  <si>
    <t>Sub-total Año 2013</t>
  </si>
  <si>
    <t>UNIDAD CONDENSADORA DE 5 TONELADAS MARCA TGM</t>
  </si>
  <si>
    <t>TGM</t>
  </si>
  <si>
    <t>INGENIERIA Y SERVICIOS SRL</t>
  </si>
  <si>
    <t>A010010011500000047</t>
  </si>
  <si>
    <t>Compra e instalacion</t>
  </si>
  <si>
    <t>CAMARAS</t>
  </si>
  <si>
    <t>DVR BAREBONE 8CH</t>
  </si>
  <si>
    <t>DVR BAREBONE 4CH</t>
  </si>
  <si>
    <t>DISCO SATA 1TB</t>
  </si>
  <si>
    <t>ADAPTADOR SCREW TERMINAL HEMBRA</t>
  </si>
  <si>
    <t>ADAPTADOR CORD WITH PLUG MACHO</t>
  </si>
  <si>
    <t>ADAPTADOR GADSPOT PARA CAMARA</t>
  </si>
  <si>
    <t>PROTECTOR LD-T200C BALUN</t>
  </si>
  <si>
    <t>MATERIALES FERRETEROS</t>
  </si>
  <si>
    <t>INSTALACION CAMARAS CON TUB. PVC</t>
  </si>
  <si>
    <t>DISCO SATA  500GB</t>
  </si>
  <si>
    <t>SERVICIO CUENTA DYNDNS</t>
  </si>
  <si>
    <t>CABLE NEWLINK P/</t>
  </si>
  <si>
    <t>DVR BAREBONE GADSPOT 8CH</t>
  </si>
  <si>
    <t>DVR BAREBONE GADSPOT 4CH</t>
  </si>
  <si>
    <t>CAMARA SEGURIDAD GADSPOT</t>
  </si>
  <si>
    <t>GADSPOT</t>
  </si>
  <si>
    <t>GS2011V</t>
  </si>
  <si>
    <t>GS5003/B</t>
  </si>
  <si>
    <t>A030010011500006935</t>
  </si>
  <si>
    <t>Silla para visita, color negro tapizado en tela 0391</t>
  </si>
  <si>
    <t>Silla para visitas, en tela color negro. 0360</t>
  </si>
  <si>
    <t>Silla de Visita Mod. En Tela Color Azul tubo de Aluminio,importada 506</t>
  </si>
  <si>
    <t>Silla de Visita Mod. En Tela Color Azul tubo de Aluminio,importada 508</t>
  </si>
  <si>
    <t>Silla de Visita Mod. En Tela Color Azul tubo de Aluminio,importada 536</t>
  </si>
  <si>
    <t>Silla de Visita Mod. En Tela Color Azul tubo de Aluminio,importada 537</t>
  </si>
  <si>
    <t>Silla de Visita Mod. En Tela Color Azul tubo de Aluminio,importada 538</t>
  </si>
  <si>
    <t>Silla Secretarial Mod. En  Tela Azul,Sistema de contacto Permanente eq. Of. 504</t>
  </si>
  <si>
    <t>Silla Secretarial Mod. En  Tela Azul,Sistema de contacto Permanente eq. Of. 517</t>
  </si>
  <si>
    <t>Silla Secretarial Mod. En  Tela Azul,Sistema de contacto Permanente eq. Of. 518</t>
  </si>
  <si>
    <t>Silla plegadiza para visitas, en tela color crema eq of. 282</t>
  </si>
  <si>
    <t>MÓDULO METÁLICO DE 3 GAVETAS CON RUEDAS COLOR ALUMINIO</t>
  </si>
  <si>
    <t>A010010011500001069</t>
  </si>
  <si>
    <t>B &amp; H MOBILIARIO</t>
  </si>
  <si>
    <t>15-1</t>
  </si>
  <si>
    <t>ESTATACION DE TRABAJO PARA OFICINA</t>
  </si>
  <si>
    <t>A010010011500001082</t>
  </si>
  <si>
    <t>110-1</t>
  </si>
  <si>
    <t>GABINETE COLGANTE EN MELAMINA, C/HAYA</t>
  </si>
  <si>
    <t>Sub-total Enero 2014</t>
  </si>
  <si>
    <t>Sub-total Febrero 2014</t>
  </si>
  <si>
    <t xml:space="preserve">CAMARA DIGITAL </t>
  </si>
  <si>
    <t>NIKON</t>
  </si>
  <si>
    <t>D7000</t>
  </si>
  <si>
    <t>2P TECHNOLOGY</t>
  </si>
  <si>
    <t>A010010011500000550</t>
  </si>
  <si>
    <t>CMN0000001</t>
  </si>
  <si>
    <t>Sub-Total 2013</t>
  </si>
  <si>
    <t>A010010011500000001</t>
  </si>
  <si>
    <t>A010010011500000002</t>
  </si>
  <si>
    <t>CERESA MOTORS C. POR A.</t>
  </si>
  <si>
    <t>KMHJT81EBEU824682</t>
  </si>
  <si>
    <t>HYINDAI</t>
  </si>
  <si>
    <t>TUCSON 2014</t>
  </si>
  <si>
    <t>Jeep Hyundai Tucson Blanca</t>
  </si>
  <si>
    <t>KMHJT81EBEU824748</t>
  </si>
  <si>
    <t>INSTALACION CAMARAS CON CANALETAS</t>
  </si>
  <si>
    <t>CAMARA SEGURIDAD GADSPOT GS7000</t>
  </si>
  <si>
    <t>A030010011500007288</t>
  </si>
  <si>
    <t>GS7000/W</t>
  </si>
  <si>
    <t>(Al 30 de Abril del 2014)</t>
  </si>
</sst>
</file>

<file path=xl/styles.xml><?xml version="1.0" encoding="utf-8"?>
<styleSheet xmlns="http://schemas.openxmlformats.org/spreadsheetml/2006/main">
  <numFmts count="8">
    <numFmt numFmtId="43" formatCode="_(* #,##0.00_);_(* \(#,##0.00\);_(* &quot;-&quot;??_);_(@_)"/>
    <numFmt numFmtId="164" formatCode="0#"/>
    <numFmt numFmtId="165" formatCode="0_);[Red]\(0\)"/>
    <numFmt numFmtId="166" formatCode="#,##0.00;[Red]#,##0.00"/>
    <numFmt numFmtId="167" formatCode="#,##0.00_ ;[Red]\-#,##0.00\ "/>
    <numFmt numFmtId="168" formatCode="#\ ?/2"/>
    <numFmt numFmtId="169" formatCode="0.00000"/>
    <numFmt numFmtId="170" formatCode="#,##0.00000_);[Red]\(#,##0.00000\)"/>
  </numFmts>
  <fonts count="2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b/>
      <u/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14"/>
      <name val="Arial"/>
      <family val="2"/>
    </font>
    <font>
      <b/>
      <sz val="11"/>
      <name val="Times New Roman"/>
      <family val="1"/>
    </font>
    <font>
      <sz val="12"/>
      <color rgb="FFFF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9" fillId="0" borderId="0"/>
    <xf numFmtId="0" fontId="16" fillId="0" borderId="0"/>
    <xf numFmtId="0" fontId="20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</cellStyleXfs>
  <cellXfs count="55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justify"/>
    </xf>
    <xf numFmtId="40" fontId="7" fillId="0" borderId="0" xfId="0" applyNumberFormat="1" applyFont="1"/>
    <xf numFmtId="0" fontId="8" fillId="3" borderId="4" xfId="0" applyFont="1" applyFill="1" applyBorder="1" applyAlignment="1">
      <alignment vertical="justify"/>
    </xf>
    <xf numFmtId="164" fontId="8" fillId="3" borderId="4" xfId="0" applyNumberFormat="1" applyFont="1" applyFill="1" applyBorder="1" applyAlignment="1">
      <alignment horizontal="center" vertical="justify"/>
    </xf>
    <xf numFmtId="1" fontId="8" fillId="3" borderId="4" xfId="0" applyNumberFormat="1" applyFont="1" applyFill="1" applyBorder="1" applyAlignment="1">
      <alignment horizontal="center" vertical="justify"/>
    </xf>
    <xf numFmtId="40" fontId="8" fillId="3" borderId="4" xfId="0" applyNumberFormat="1" applyFont="1" applyFill="1" applyBorder="1" applyAlignment="1">
      <alignment horizontal="right" vertical="justify"/>
    </xf>
    <xf numFmtId="0" fontId="8" fillId="3" borderId="4" xfId="0" applyFont="1" applyFill="1" applyBorder="1" applyAlignment="1">
      <alignment horizontal="right" vertical="justify"/>
    </xf>
    <xf numFmtId="40" fontId="8" fillId="3" borderId="4" xfId="0" applyNumberFormat="1" applyFont="1" applyFill="1" applyBorder="1" applyAlignment="1">
      <alignment vertical="justify"/>
    </xf>
    <xf numFmtId="0" fontId="8" fillId="0" borderId="0" xfId="0" applyFont="1" applyFill="1" applyAlignment="1">
      <alignment vertical="justify"/>
    </xf>
    <xf numFmtId="0" fontId="7" fillId="0" borderId="0" xfId="0" applyFont="1" applyFill="1"/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40" fontId="7" fillId="0" borderId="0" xfId="0" applyNumberFormat="1" applyFont="1" applyAlignment="1">
      <alignment wrapText="1"/>
    </xf>
    <xf numFmtId="0" fontId="8" fillId="0" borderId="0" xfId="0" applyFont="1"/>
    <xf numFmtId="0" fontId="8" fillId="0" borderId="0" xfId="0" applyFont="1" applyAlignment="1">
      <alignment vertical="justify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0" fontId="8" fillId="0" borderId="5" xfId="0" applyNumberFormat="1" applyFont="1" applyBorder="1"/>
    <xf numFmtId="0" fontId="8" fillId="0" borderId="5" xfId="0" applyFont="1" applyBorder="1"/>
    <xf numFmtId="0" fontId="7" fillId="0" borderId="0" xfId="3" applyFont="1" applyFill="1" applyAlignment="1">
      <alignment horizontal="left"/>
    </xf>
    <xf numFmtId="0" fontId="7" fillId="0" borderId="0" xfId="3" applyFont="1" applyFill="1"/>
    <xf numFmtId="0" fontId="8" fillId="0" borderId="0" xfId="3" applyFont="1" applyFill="1"/>
    <xf numFmtId="1" fontId="7" fillId="0" borderId="0" xfId="3" applyNumberFormat="1" applyFont="1" applyFill="1" applyBorder="1"/>
    <xf numFmtId="0" fontId="7" fillId="0" borderId="0" xfId="3" applyFont="1" applyFill="1" applyAlignment="1">
      <alignment horizontal="left" vertical="center" wrapText="1"/>
    </xf>
    <xf numFmtId="0" fontId="8" fillId="0" borderId="0" xfId="3" applyFont="1" applyFill="1" applyAlignment="1">
      <alignment horizontal="center" vertical="justify"/>
    </xf>
    <xf numFmtId="0" fontId="8" fillId="2" borderId="4" xfId="3" applyFont="1" applyFill="1" applyBorder="1" applyAlignment="1">
      <alignment horizontal="center" vertical="justify"/>
    </xf>
    <xf numFmtId="40" fontId="8" fillId="3" borderId="4" xfId="3" applyNumberFormat="1" applyFont="1" applyFill="1" applyBorder="1" applyAlignment="1">
      <alignment vertical="justify"/>
    </xf>
    <xf numFmtId="40" fontId="8" fillId="3" borderId="4" xfId="3" applyNumberFormat="1" applyFont="1" applyFill="1" applyBorder="1" applyAlignment="1">
      <alignment horizontal="right" vertical="justify"/>
    </xf>
    <xf numFmtId="40" fontId="8" fillId="2" borderId="4" xfId="3" applyNumberFormat="1" applyFont="1" applyFill="1" applyBorder="1" applyAlignment="1">
      <alignment horizontal="center" vertical="justify"/>
    </xf>
    <xf numFmtId="1" fontId="8" fillId="2" borderId="4" xfId="3" applyNumberFormat="1" applyFont="1" applyFill="1" applyBorder="1" applyAlignment="1">
      <alignment horizontal="center" vertical="justify"/>
    </xf>
    <xf numFmtId="164" fontId="8" fillId="2" borderId="4" xfId="3" applyNumberFormat="1" applyFont="1" applyFill="1" applyBorder="1" applyAlignment="1">
      <alignment horizontal="center" vertical="justify"/>
    </xf>
    <xf numFmtId="40" fontId="7" fillId="0" borderId="0" xfId="3" applyNumberFormat="1" applyFont="1"/>
    <xf numFmtId="40" fontId="7" fillId="0" borderId="0" xfId="3" applyNumberFormat="1" applyFont="1" applyFill="1"/>
    <xf numFmtId="43" fontId="7" fillId="0" borderId="0" xfId="3" applyNumberFormat="1" applyFont="1" applyFill="1" applyAlignment="1">
      <alignment horizontal="center"/>
    </xf>
    <xf numFmtId="0" fontId="7" fillId="4" borderId="0" xfId="0" applyFont="1" applyFill="1"/>
    <xf numFmtId="0" fontId="7" fillId="4" borderId="0" xfId="0" applyFont="1" applyFill="1" applyAlignment="1">
      <alignment vertical="justify"/>
    </xf>
    <xf numFmtId="164" fontId="7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40" fontId="7" fillId="4" borderId="0" xfId="0" applyNumberFormat="1" applyFont="1" applyFill="1"/>
    <xf numFmtId="0" fontId="8" fillId="0" borderId="0" xfId="3" applyFont="1" applyFill="1" applyAlignment="1">
      <alignment vertical="justify"/>
    </xf>
    <xf numFmtId="40" fontId="8" fillId="3" borderId="8" xfId="3" applyNumberFormat="1" applyFont="1" applyFill="1" applyBorder="1" applyAlignment="1">
      <alignment vertical="justify"/>
    </xf>
    <xf numFmtId="40" fontId="8" fillId="3" borderId="8" xfId="3" applyNumberFormat="1" applyFont="1" applyFill="1" applyBorder="1" applyAlignment="1">
      <alignment horizontal="right" vertical="justify"/>
    </xf>
    <xf numFmtId="165" fontId="8" fillId="3" borderId="4" xfId="3" applyNumberFormat="1" applyFont="1" applyFill="1" applyBorder="1" applyAlignment="1">
      <alignment horizontal="right" vertical="justify"/>
    </xf>
    <xf numFmtId="0" fontId="8" fillId="3" borderId="4" xfId="3" applyFont="1" applyFill="1" applyBorder="1" applyAlignment="1">
      <alignment horizontal="right" vertical="justify"/>
    </xf>
    <xf numFmtId="0" fontId="8" fillId="3" borderId="4" xfId="3" applyFont="1" applyFill="1" applyBorder="1" applyAlignment="1">
      <alignment vertical="justify"/>
    </xf>
    <xf numFmtId="1" fontId="8" fillId="3" borderId="4" xfId="3" applyNumberFormat="1" applyFont="1" applyFill="1" applyBorder="1" applyAlignment="1">
      <alignment horizontal="center" vertical="justify"/>
    </xf>
    <xf numFmtId="164" fontId="8" fillId="3" borderId="4" xfId="3" applyNumberFormat="1" applyFont="1" applyFill="1" applyBorder="1" applyAlignment="1">
      <alignment horizontal="center" vertical="justify"/>
    </xf>
    <xf numFmtId="0" fontId="7" fillId="0" borderId="0" xfId="3" applyFont="1"/>
    <xf numFmtId="165" fontId="7" fillId="0" borderId="0" xfId="3" applyNumberFormat="1" applyFont="1"/>
    <xf numFmtId="0" fontId="7" fillId="0" borderId="0" xfId="3" applyFont="1" applyAlignment="1">
      <alignment vertical="justify"/>
    </xf>
    <xf numFmtId="0" fontId="7" fillId="0" borderId="0" xfId="3" applyFont="1" applyAlignment="1">
      <alignment horizontal="center"/>
    </xf>
    <xf numFmtId="164" fontId="7" fillId="0" borderId="0" xfId="3" applyNumberFormat="1" applyFont="1" applyAlignment="1">
      <alignment horizontal="center"/>
    </xf>
    <xf numFmtId="0" fontId="7" fillId="0" borderId="0" xfId="3" applyFont="1" applyAlignment="1">
      <alignment horizontal="left"/>
    </xf>
    <xf numFmtId="0" fontId="7" fillId="0" borderId="0" xfId="3" applyFont="1" applyBorder="1"/>
    <xf numFmtId="40" fontId="7" fillId="0" borderId="0" xfId="3" applyNumberFormat="1" applyFont="1" applyBorder="1"/>
    <xf numFmtId="0" fontId="7" fillId="0" borderId="0" xfId="3" applyFont="1" applyBorder="1" applyAlignment="1">
      <alignment horizontal="center"/>
    </xf>
    <xf numFmtId="164" fontId="7" fillId="0" borderId="0" xfId="3" applyNumberFormat="1" applyFont="1" applyBorder="1" applyAlignment="1">
      <alignment horizontal="center"/>
    </xf>
    <xf numFmtId="0" fontId="7" fillId="0" borderId="0" xfId="3" applyFont="1" applyBorder="1" applyAlignment="1">
      <alignment horizontal="left"/>
    </xf>
    <xf numFmtId="0" fontId="7" fillId="0" borderId="0" xfId="3" applyFont="1" applyBorder="1" applyAlignment="1">
      <alignment vertical="justify"/>
    </xf>
    <xf numFmtId="40" fontId="8" fillId="0" borderId="9" xfId="3" applyNumberFormat="1" applyFont="1" applyBorder="1"/>
    <xf numFmtId="0" fontId="8" fillId="0" borderId="0" xfId="3" applyFont="1" applyBorder="1"/>
    <xf numFmtId="40" fontId="8" fillId="0" borderId="2" xfId="3" applyNumberFormat="1" applyFont="1" applyBorder="1"/>
    <xf numFmtId="0" fontId="8" fillId="0" borderId="0" xfId="3" applyFont="1" applyBorder="1" applyAlignment="1">
      <alignment vertical="justify"/>
    </xf>
    <xf numFmtId="0" fontId="7" fillId="0" borderId="0" xfId="3" applyFont="1" applyBorder="1" applyAlignment="1">
      <alignment horizontal="right"/>
    </xf>
    <xf numFmtId="164" fontId="7" fillId="0" borderId="0" xfId="3" applyNumberFormat="1" applyFont="1" applyBorder="1" applyAlignment="1">
      <alignment horizontal="right"/>
    </xf>
    <xf numFmtId="0" fontId="7" fillId="0" borderId="0" xfId="3" applyFont="1" applyFill="1" applyBorder="1"/>
    <xf numFmtId="40" fontId="8" fillId="0" borderId="10" xfId="3" applyNumberFormat="1" applyFont="1" applyBorder="1"/>
    <xf numFmtId="0" fontId="8" fillId="0" borderId="0" xfId="3" applyFont="1" applyBorder="1" applyAlignment="1">
      <alignment horizontal="center"/>
    </xf>
    <xf numFmtId="164" fontId="8" fillId="0" borderId="0" xfId="3" applyNumberFormat="1" applyFont="1" applyBorder="1" applyAlignment="1">
      <alignment horizontal="center"/>
    </xf>
    <xf numFmtId="0" fontId="8" fillId="0" borderId="0" xfId="3" applyFont="1" applyBorder="1" applyAlignment="1">
      <alignment horizontal="left"/>
    </xf>
    <xf numFmtId="0" fontId="7" fillId="0" borderId="0" xfId="3" applyFont="1" applyFill="1" applyBorder="1" applyAlignment="1">
      <alignment horizontal="left"/>
    </xf>
    <xf numFmtId="0" fontId="8" fillId="0" borderId="2" xfId="3" applyFont="1" applyBorder="1"/>
    <xf numFmtId="40" fontId="7" fillId="0" borderId="0" xfId="3" applyNumberFormat="1" applyFont="1" applyBorder="1" applyAlignment="1">
      <alignment wrapText="1"/>
    </xf>
    <xf numFmtId="40" fontId="7" fillId="0" borderId="0" xfId="3" applyNumberFormat="1" applyFont="1" applyFill="1" applyBorder="1"/>
    <xf numFmtId="0" fontId="7" fillId="0" borderId="0" xfId="3" applyFont="1" applyFill="1" applyBorder="1" applyAlignment="1">
      <alignment horizontal="center"/>
    </xf>
    <xf numFmtId="164" fontId="7" fillId="0" borderId="0" xfId="3" applyNumberFormat="1" applyFont="1" applyFill="1" applyBorder="1" applyAlignment="1">
      <alignment horizontal="center"/>
    </xf>
    <xf numFmtId="0" fontId="7" fillId="0" borderId="0" xfId="3" applyFont="1" applyFill="1" applyBorder="1" applyAlignment="1">
      <alignment vertical="justify"/>
    </xf>
    <xf numFmtId="40" fontId="7" fillId="0" borderId="0" xfId="3" applyNumberFormat="1" applyFont="1" applyAlignment="1">
      <alignment wrapText="1"/>
    </xf>
    <xf numFmtId="0" fontId="8" fillId="3" borderId="4" xfId="3" applyFont="1" applyFill="1" applyBorder="1" applyAlignment="1">
      <alignment horizontal="left" vertical="justify"/>
    </xf>
    <xf numFmtId="0" fontId="6" fillId="0" borderId="0" xfId="3" applyFont="1"/>
    <xf numFmtId="0" fontId="6" fillId="0" borderId="0" xfId="3" applyFont="1" applyAlignment="1">
      <alignment horizontal="left"/>
    </xf>
    <xf numFmtId="0" fontId="5" fillId="0" borderId="0" xfId="3" applyFont="1"/>
    <xf numFmtId="0" fontId="4" fillId="0" borderId="0" xfId="3" applyFont="1"/>
    <xf numFmtId="1" fontId="7" fillId="0" borderId="0" xfId="0" applyNumberFormat="1" applyFont="1" applyFill="1" applyBorder="1"/>
    <xf numFmtId="1" fontId="7" fillId="5" borderId="0" xfId="0" applyNumberFormat="1" applyFont="1" applyFill="1" applyBorder="1"/>
    <xf numFmtId="4" fontId="8" fillId="3" borderId="4" xfId="0" applyNumberFormat="1" applyFont="1" applyFill="1" applyBorder="1" applyAlignment="1">
      <alignment vertical="justify"/>
    </xf>
    <xf numFmtId="0" fontId="6" fillId="0" borderId="0" xfId="0" applyFont="1" applyFill="1" applyAlignment="1">
      <alignment wrapText="1"/>
    </xf>
    <xf numFmtId="0" fontId="7" fillId="0" borderId="0" xfId="0" applyFont="1" applyFill="1" applyAlignment="1">
      <alignment horizontal="center" wrapText="1"/>
    </xf>
    <xf numFmtId="4" fontId="7" fillId="0" borderId="0" xfId="0" applyNumberFormat="1" applyFont="1" applyFill="1" applyAlignment="1">
      <alignment horizontal="center" wrapText="1"/>
    </xf>
    <xf numFmtId="0" fontId="8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center" vertical="justify"/>
    </xf>
    <xf numFmtId="40" fontId="8" fillId="2" borderId="11" xfId="0" applyNumberFormat="1" applyFont="1" applyFill="1" applyBorder="1" applyAlignment="1">
      <alignment horizontal="center" vertical="justify"/>
    </xf>
    <xf numFmtId="0" fontId="8" fillId="2" borderId="11" xfId="0" applyFont="1" applyFill="1" applyBorder="1" applyAlignment="1">
      <alignment horizontal="left" vertical="justify"/>
    </xf>
    <xf numFmtId="1" fontId="8" fillId="2" borderId="11" xfId="0" applyNumberFormat="1" applyFont="1" applyFill="1" applyBorder="1" applyAlignment="1">
      <alignment horizontal="center" vertical="justify"/>
    </xf>
    <xf numFmtId="164" fontId="8" fillId="2" borderId="11" xfId="0" applyNumberFormat="1" applyFont="1" applyFill="1" applyBorder="1" applyAlignment="1">
      <alignment horizontal="center" vertical="justify"/>
    </xf>
    <xf numFmtId="40" fontId="7" fillId="0" borderId="0" xfId="0" applyNumberFormat="1" applyFont="1" applyFill="1"/>
    <xf numFmtId="0" fontId="7" fillId="0" borderId="0" xfId="0" applyFont="1" applyFill="1" applyAlignment="1">
      <alignment horizontal="left"/>
    </xf>
    <xf numFmtId="43" fontId="7" fillId="0" borderId="0" xfId="2" applyFont="1" applyFill="1"/>
    <xf numFmtId="43" fontId="7" fillId="0" borderId="0" xfId="2" applyFont="1" applyFill="1" applyAlignment="1">
      <alignment wrapText="1"/>
    </xf>
    <xf numFmtId="43" fontId="7" fillId="0" borderId="0" xfId="2" applyFont="1" applyFill="1" applyAlignment="1">
      <alignment horizontal="left" wrapText="1"/>
    </xf>
    <xf numFmtId="0" fontId="7" fillId="0" borderId="0" xfId="0" applyFont="1" applyFill="1" applyBorder="1" applyAlignment="1">
      <alignment horizontal="right"/>
    </xf>
    <xf numFmtId="0" fontId="7" fillId="6" borderId="0" xfId="0" applyFont="1" applyFill="1" applyBorder="1"/>
    <xf numFmtId="40" fontId="7" fillId="0" borderId="0" xfId="0" applyNumberFormat="1" applyFont="1" applyFill="1" applyBorder="1" applyAlignment="1"/>
    <xf numFmtId="40" fontId="7" fillId="0" borderId="0" xfId="0" applyNumberFormat="1" applyFont="1" applyFill="1" applyBorder="1" applyAlignment="1">
      <alignment horizontal="right"/>
    </xf>
    <xf numFmtId="1" fontId="7" fillId="0" borderId="0" xfId="0" applyNumberFormat="1" applyFont="1" applyFill="1" applyBorder="1" applyAlignment="1">
      <alignment horizontal="left"/>
    </xf>
    <xf numFmtId="164" fontId="7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0" fontId="8" fillId="6" borderId="0" xfId="0" applyFont="1" applyFill="1" applyBorder="1"/>
    <xf numFmtId="40" fontId="8" fillId="0" borderId="5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left"/>
    </xf>
    <xf numFmtId="164" fontId="8" fillId="0" borderId="0" xfId="0" applyNumberFormat="1" applyFont="1" applyFill="1" applyBorder="1" applyAlignment="1">
      <alignment horizontal="left"/>
    </xf>
    <xf numFmtId="1" fontId="7" fillId="6" borderId="0" xfId="0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3" fontId="13" fillId="0" borderId="0" xfId="2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14" fontId="7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 vertical="center"/>
    </xf>
    <xf numFmtId="43" fontId="13" fillId="0" borderId="0" xfId="2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4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43" fontId="13" fillId="0" borderId="0" xfId="2" applyFont="1" applyBorder="1" applyAlignment="1">
      <alignment horizontal="center" vertical="center"/>
    </xf>
    <xf numFmtId="14" fontId="7" fillId="0" borderId="0" xfId="0" applyNumberFormat="1" applyFont="1" applyBorder="1"/>
    <xf numFmtId="0" fontId="7" fillId="0" borderId="0" xfId="0" applyFont="1" applyBorder="1"/>
    <xf numFmtId="43" fontId="13" fillId="0" borderId="0" xfId="2" applyFont="1" applyBorder="1"/>
    <xf numFmtId="0" fontId="7" fillId="0" borderId="0" xfId="0" applyFont="1" applyBorder="1" applyAlignment="1">
      <alignment horizontal="left"/>
    </xf>
    <xf numFmtId="14" fontId="7" fillId="0" borderId="0" xfId="0" applyNumberFormat="1" applyFont="1" applyBorder="1" applyAlignment="1">
      <alignment horizontal="center"/>
    </xf>
    <xf numFmtId="1" fontId="7" fillId="0" borderId="0" xfId="0" applyNumberFormat="1" applyFont="1" applyBorder="1"/>
    <xf numFmtId="0" fontId="7" fillId="0" borderId="0" xfId="0" applyFont="1" applyFill="1" applyBorder="1" applyAlignment="1">
      <alignment horizontal="center" vertical="center" wrapText="1"/>
    </xf>
    <xf numFmtId="43" fontId="13" fillId="0" borderId="0" xfId="2" applyFont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horizontal="left" wrapText="1"/>
    </xf>
    <xf numFmtId="0" fontId="7" fillId="0" borderId="0" xfId="0" applyFont="1" applyFill="1" applyBorder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wrapText="1"/>
    </xf>
    <xf numFmtId="1" fontId="7" fillId="0" borderId="0" xfId="0" applyNumberFormat="1" applyFont="1" applyBorder="1" applyAlignment="1">
      <alignment horizontal="center" vertical="center"/>
    </xf>
    <xf numFmtId="0" fontId="7" fillId="7" borderId="0" xfId="0" applyFont="1" applyFill="1" applyBorder="1"/>
    <xf numFmtId="1" fontId="7" fillId="7" borderId="0" xfId="0" applyNumberFormat="1" applyFont="1" applyFill="1" applyBorder="1" applyAlignment="1">
      <alignment horizontal="center"/>
    </xf>
    <xf numFmtId="40" fontId="7" fillId="7" borderId="0" xfId="0" applyNumberFormat="1" applyFont="1" applyFill="1" applyBorder="1" applyAlignment="1"/>
    <xf numFmtId="40" fontId="7" fillId="7" borderId="0" xfId="0" applyNumberFormat="1" applyFont="1" applyFill="1" applyBorder="1" applyAlignment="1">
      <alignment horizontal="right"/>
    </xf>
    <xf numFmtId="0" fontId="7" fillId="7" borderId="0" xfId="0" applyFont="1" applyFill="1" applyBorder="1" applyAlignment="1">
      <alignment horizontal="left"/>
    </xf>
    <xf numFmtId="1" fontId="7" fillId="7" borderId="0" xfId="0" applyNumberFormat="1" applyFont="1" applyFill="1" applyBorder="1" applyAlignment="1">
      <alignment horizontal="right"/>
    </xf>
    <xf numFmtId="164" fontId="7" fillId="7" borderId="0" xfId="0" applyNumberFormat="1" applyFont="1" applyFill="1" applyBorder="1" applyAlignment="1">
      <alignment horizontal="right"/>
    </xf>
    <xf numFmtId="0" fontId="7" fillId="7" borderId="0" xfId="0" applyFont="1" applyFill="1" applyBorder="1" applyAlignment="1">
      <alignment horizontal="left" wrapText="1"/>
    </xf>
    <xf numFmtId="1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14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40" fontId="7" fillId="0" borderId="0" xfId="0" applyNumberFormat="1" applyFont="1" applyFill="1" applyBorder="1"/>
    <xf numFmtId="49" fontId="14" fillId="0" borderId="0" xfId="0" applyNumberFormat="1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right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40" fontId="7" fillId="0" borderId="0" xfId="2" applyNumberFormat="1" applyFont="1" applyFill="1" applyBorder="1" applyAlignment="1">
      <alignment horizontal="right"/>
    </xf>
    <xf numFmtId="0" fontId="7" fillId="8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vertical="justify"/>
    </xf>
    <xf numFmtId="0" fontId="15" fillId="6" borderId="0" xfId="0" applyFont="1" applyFill="1" applyBorder="1" applyAlignment="1">
      <alignment vertical="justify"/>
    </xf>
    <xf numFmtId="0" fontId="8" fillId="2" borderId="4" xfId="0" applyFont="1" applyFill="1" applyBorder="1" applyAlignment="1">
      <alignment vertical="justify"/>
    </xf>
    <xf numFmtId="1" fontId="8" fillId="3" borderId="4" xfId="0" applyNumberFormat="1" applyFont="1" applyFill="1" applyBorder="1" applyAlignment="1">
      <alignment vertical="justify"/>
    </xf>
    <xf numFmtId="164" fontId="8" fillId="3" borderId="4" xfId="0" applyNumberFormat="1" applyFont="1" applyFill="1" applyBorder="1" applyAlignment="1">
      <alignment vertical="justify"/>
    </xf>
    <xf numFmtId="0" fontId="8" fillId="3" borderId="4" xfId="0" applyFont="1" applyFill="1" applyBorder="1" applyAlignment="1">
      <alignment horizontal="left" vertical="justify"/>
    </xf>
    <xf numFmtId="0" fontId="7" fillId="8" borderId="0" xfId="0" applyFont="1" applyFill="1" applyBorder="1"/>
    <xf numFmtId="0" fontId="6" fillId="0" borderId="0" xfId="0" applyFont="1" applyFill="1" applyBorder="1"/>
    <xf numFmtId="14" fontId="6" fillId="6" borderId="0" xfId="0" applyNumberFormat="1" applyFont="1" applyFill="1" applyBorder="1"/>
    <xf numFmtId="0" fontId="6" fillId="6" borderId="0" xfId="0" applyFont="1" applyFill="1" applyBorder="1"/>
    <xf numFmtId="0" fontId="7" fillId="0" borderId="0" xfId="4" applyFont="1" applyFill="1"/>
    <xf numFmtId="40" fontId="7" fillId="0" borderId="0" xfId="4" applyNumberFormat="1" applyFont="1" applyFill="1"/>
    <xf numFmtId="40" fontId="7" fillId="0" borderId="0" xfId="2" applyNumberFormat="1" applyFont="1" applyFill="1"/>
    <xf numFmtId="0" fontId="7" fillId="0" borderId="0" xfId="4" applyFont="1" applyFill="1" applyAlignment="1">
      <alignment horizontal="left"/>
    </xf>
    <xf numFmtId="1" fontId="7" fillId="0" borderId="0" xfId="4" applyNumberFormat="1" applyFont="1" applyFill="1" applyAlignment="1">
      <alignment horizontal="left"/>
    </xf>
    <xf numFmtId="164" fontId="7" fillId="0" borderId="0" xfId="4" applyNumberFormat="1" applyFont="1" applyFill="1" applyAlignment="1">
      <alignment horizontal="left"/>
    </xf>
    <xf numFmtId="0" fontId="8" fillId="0" borderId="0" xfId="4" applyFont="1" applyFill="1" applyAlignment="1">
      <alignment wrapText="1"/>
    </xf>
    <xf numFmtId="40" fontId="8" fillId="0" borderId="5" xfId="2" applyNumberFormat="1" applyFont="1" applyFill="1" applyBorder="1" applyAlignment="1">
      <alignment wrapText="1"/>
    </xf>
    <xf numFmtId="40" fontId="8" fillId="0" borderId="0" xfId="2" applyNumberFormat="1" applyFont="1" applyFill="1" applyAlignment="1">
      <alignment wrapText="1"/>
    </xf>
    <xf numFmtId="0" fontId="8" fillId="0" borderId="0" xfId="4" applyFont="1" applyFill="1" applyAlignment="1">
      <alignment horizontal="left" wrapText="1"/>
    </xf>
    <xf numFmtId="1" fontId="8" fillId="0" borderId="0" xfId="4" applyNumberFormat="1" applyFont="1" applyFill="1" applyAlignment="1">
      <alignment horizontal="left" wrapText="1"/>
    </xf>
    <xf numFmtId="164" fontId="8" fillId="0" borderId="0" xfId="4" applyNumberFormat="1" applyFont="1" applyFill="1" applyAlignment="1">
      <alignment horizontal="left" wrapText="1"/>
    </xf>
    <xf numFmtId="0" fontId="8" fillId="0" borderId="0" xfId="4" applyFont="1" applyFill="1" applyAlignment="1">
      <alignment horizontal="left" vertical="justify"/>
    </xf>
    <xf numFmtId="0" fontId="7" fillId="0" borderId="0" xfId="4" applyFont="1" applyFill="1" applyBorder="1" applyAlignment="1">
      <alignment wrapText="1"/>
    </xf>
    <xf numFmtId="1" fontId="7" fillId="6" borderId="0" xfId="4" applyNumberFormat="1" applyFont="1" applyFill="1" applyBorder="1" applyAlignment="1">
      <alignment horizontal="center"/>
    </xf>
    <xf numFmtId="0" fontId="7" fillId="0" borderId="0" xfId="4" applyFont="1" applyFill="1" applyBorder="1" applyAlignment="1">
      <alignment horizontal="center" vertical="center" wrapText="1"/>
    </xf>
    <xf numFmtId="40" fontId="7" fillId="0" borderId="0" xfId="4" applyNumberFormat="1" applyFont="1" applyFill="1" applyBorder="1" applyAlignment="1">
      <alignment wrapText="1"/>
    </xf>
    <xf numFmtId="40" fontId="7" fillId="0" borderId="0" xfId="2" applyNumberFormat="1" applyFont="1" applyFill="1" applyBorder="1" applyAlignment="1">
      <alignment wrapText="1"/>
    </xf>
    <xf numFmtId="43" fontId="13" fillId="0" borderId="0" xfId="2" applyFont="1" applyFill="1" applyBorder="1" applyAlignment="1">
      <alignment vertical="center" wrapText="1"/>
    </xf>
    <xf numFmtId="0" fontId="7" fillId="0" borderId="0" xfId="4" applyFont="1" applyFill="1" applyBorder="1" applyAlignment="1">
      <alignment horizontal="right" wrapText="1"/>
    </xf>
    <xf numFmtId="164" fontId="7" fillId="0" borderId="0" xfId="4" applyNumberFormat="1" applyFont="1" applyFill="1" applyBorder="1" applyAlignment="1">
      <alignment horizontal="right" wrapText="1"/>
    </xf>
    <xf numFmtId="14" fontId="7" fillId="0" borderId="0" xfId="4" applyNumberFormat="1" applyFont="1" applyFill="1" applyBorder="1" applyAlignment="1">
      <alignment horizontal="left" wrapText="1"/>
    </xf>
    <xf numFmtId="0" fontId="7" fillId="0" borderId="0" xfId="4" applyFont="1" applyFill="1" applyBorder="1" applyAlignment="1">
      <alignment horizontal="left" vertical="center" wrapText="1"/>
    </xf>
    <xf numFmtId="0" fontId="7" fillId="0" borderId="0" xfId="4" applyFont="1" applyFill="1" applyBorder="1" applyAlignment="1">
      <alignment horizontal="left" wrapText="1"/>
    </xf>
    <xf numFmtId="0" fontId="7" fillId="0" borderId="0" xfId="4" applyFont="1" applyFill="1" applyBorder="1" applyAlignment="1">
      <alignment horizontal="left" vertical="justify"/>
    </xf>
    <xf numFmtId="43" fontId="13" fillId="0" borderId="0" xfId="2" applyFont="1" applyFill="1" applyBorder="1" applyAlignment="1">
      <alignment wrapText="1"/>
    </xf>
    <xf numFmtId="0" fontId="7" fillId="0" borderId="0" xfId="4" applyFont="1" applyFill="1" applyBorder="1" applyAlignment="1">
      <alignment vertical="justify"/>
    </xf>
    <xf numFmtId="0" fontId="7" fillId="0" borderId="0" xfId="4" applyFont="1" applyFill="1" applyBorder="1" applyAlignment="1">
      <alignment horizontal="center" wrapText="1"/>
    </xf>
    <xf numFmtId="1" fontId="7" fillId="0" borderId="0" xfId="4" applyNumberFormat="1" applyFont="1" applyFill="1" applyBorder="1" applyAlignment="1">
      <alignment horizontal="left" wrapText="1"/>
    </xf>
    <xf numFmtId="43" fontId="13" fillId="0" borderId="0" xfId="2" applyFont="1" applyFill="1" applyBorder="1" applyAlignment="1">
      <alignment horizontal="center" vertical="center" wrapText="1"/>
    </xf>
    <xf numFmtId="1" fontId="7" fillId="0" borderId="0" xfId="4" applyNumberFormat="1" applyFont="1" applyFill="1" applyBorder="1" applyAlignment="1">
      <alignment horizontal="left" vertical="center" wrapText="1"/>
    </xf>
    <xf numFmtId="4" fontId="7" fillId="0" borderId="0" xfId="4" applyNumberFormat="1" applyFont="1" applyFill="1" applyBorder="1" applyAlignment="1">
      <alignment wrapText="1"/>
    </xf>
    <xf numFmtId="4" fontId="8" fillId="0" borderId="0" xfId="4" applyNumberFormat="1" applyFont="1" applyFill="1" applyBorder="1" applyAlignment="1">
      <alignment wrapText="1"/>
    </xf>
    <xf numFmtId="14" fontId="7" fillId="0" borderId="0" xfId="4" applyNumberFormat="1" applyFont="1" applyFill="1" applyBorder="1" applyAlignment="1">
      <alignment horizontal="center" wrapText="1"/>
    </xf>
    <xf numFmtId="0" fontId="8" fillId="0" borderId="0" xfId="4" applyFont="1" applyFill="1" applyBorder="1" applyAlignment="1">
      <alignment wrapText="1"/>
    </xf>
    <xf numFmtId="14" fontId="7" fillId="0" borderId="0" xfId="4" applyNumberFormat="1" applyFont="1" applyFill="1" applyBorder="1" applyAlignment="1">
      <alignment horizontal="center" vertical="center" wrapText="1"/>
    </xf>
    <xf numFmtId="43" fontId="13" fillId="0" borderId="0" xfId="2" applyFont="1" applyFill="1" applyBorder="1" applyAlignment="1">
      <alignment horizontal="right" wrapText="1"/>
    </xf>
    <xf numFmtId="0" fontId="7" fillId="0" borderId="0" xfId="4" applyFont="1" applyFill="1" applyBorder="1" applyAlignment="1">
      <alignment horizontal="justify" vertical="justify"/>
    </xf>
    <xf numFmtId="14" fontId="7" fillId="0" borderId="0" xfId="4" applyNumberFormat="1" applyFont="1" applyFill="1" applyBorder="1" applyAlignment="1">
      <alignment horizontal="left"/>
    </xf>
    <xf numFmtId="0" fontId="7" fillId="0" borderId="0" xfId="4" applyFont="1" applyFill="1" applyBorder="1"/>
    <xf numFmtId="1" fontId="7" fillId="0" borderId="0" xfId="4" applyNumberFormat="1" applyFont="1" applyFill="1" applyBorder="1"/>
    <xf numFmtId="40" fontId="7" fillId="0" borderId="0" xfId="4" applyNumberFormat="1" applyFont="1" applyFill="1" applyBorder="1"/>
    <xf numFmtId="4" fontId="7" fillId="0" borderId="0" xfId="4" applyNumberFormat="1" applyFont="1" applyFill="1" applyBorder="1"/>
    <xf numFmtId="1" fontId="7" fillId="0" borderId="0" xfId="4" applyNumberFormat="1" applyFont="1" applyFill="1" applyBorder="1" applyAlignment="1">
      <alignment horizontal="left"/>
    </xf>
    <xf numFmtId="0" fontId="7" fillId="0" borderId="0" xfId="4" applyFont="1" applyFill="1" applyBorder="1" applyAlignment="1">
      <alignment horizontal="left"/>
    </xf>
    <xf numFmtId="1" fontId="7" fillId="0" borderId="0" xfId="4" applyNumberFormat="1" applyFont="1" applyFill="1" applyBorder="1" applyAlignment="1">
      <alignment horizontal="right"/>
    </xf>
    <xf numFmtId="164" fontId="7" fillId="0" borderId="0" xfId="4" applyNumberFormat="1" applyFont="1" applyFill="1" applyBorder="1" applyAlignment="1">
      <alignment horizontal="right"/>
    </xf>
    <xf numFmtId="4" fontId="7" fillId="0" borderId="0" xfId="4" applyNumberFormat="1" applyFont="1" applyFill="1" applyBorder="1" applyAlignment="1">
      <alignment horizontal="right"/>
    </xf>
    <xf numFmtId="40" fontId="7" fillId="0" borderId="0" xfId="2" applyNumberFormat="1" applyFont="1" applyFill="1" applyBorder="1"/>
    <xf numFmtId="166" fontId="7" fillId="0" borderId="0" xfId="4" applyNumberFormat="1" applyFont="1" applyFill="1" applyBorder="1"/>
    <xf numFmtId="167" fontId="7" fillId="0" borderId="0" xfId="4" applyNumberFormat="1" applyFont="1" applyFill="1" applyBorder="1"/>
    <xf numFmtId="43" fontId="7" fillId="0" borderId="0" xfId="4" applyNumberFormat="1" applyFont="1" applyFill="1" applyBorder="1"/>
    <xf numFmtId="4" fontId="7" fillId="0" borderId="0" xfId="2" applyNumberFormat="1" applyFont="1" applyFill="1" applyBorder="1" applyAlignment="1">
      <alignment horizontal="right"/>
    </xf>
    <xf numFmtId="4" fontId="7" fillId="0" borderId="0" xfId="2" applyNumberFormat="1" applyFont="1" applyFill="1" applyBorder="1" applyAlignment="1" applyProtection="1">
      <alignment horizontal="right"/>
      <protection locked="0"/>
    </xf>
    <xf numFmtId="1" fontId="7" fillId="0" borderId="0" xfId="4" applyNumberFormat="1" applyFont="1" applyFill="1" applyBorder="1" applyAlignment="1">
      <alignment horizontal="center"/>
    </xf>
    <xf numFmtId="4" fontId="7" fillId="0" borderId="0" xfId="2" applyNumberFormat="1" applyFont="1" applyFill="1" applyBorder="1" applyAlignment="1">
      <alignment horizontal="left"/>
    </xf>
    <xf numFmtId="4" fontId="7" fillId="0" borderId="0" xfId="4" applyNumberFormat="1" applyFont="1" applyFill="1" applyBorder="1" applyAlignment="1">
      <alignment horizontal="left"/>
    </xf>
    <xf numFmtId="4" fontId="7" fillId="0" borderId="0" xfId="2" applyNumberFormat="1" applyFont="1" applyFill="1" applyBorder="1"/>
    <xf numFmtId="4" fontId="7" fillId="0" borderId="0" xfId="2" applyNumberFormat="1" applyFont="1" applyFill="1" applyBorder="1" applyAlignment="1">
      <alignment wrapText="1"/>
    </xf>
    <xf numFmtId="4" fontId="8" fillId="0" borderId="0" xfId="2" applyNumberFormat="1" applyFont="1" applyFill="1" applyBorder="1"/>
    <xf numFmtId="164" fontId="7" fillId="0" borderId="0" xfId="4" applyNumberFormat="1" applyFont="1" applyFill="1" applyBorder="1" applyAlignment="1">
      <alignment horizontal="left"/>
    </xf>
    <xf numFmtId="40" fontId="7" fillId="0" borderId="0" xfId="2" applyNumberFormat="1" applyFont="1" applyFill="1" applyBorder="1" applyAlignment="1">
      <alignment horizontal="left"/>
    </xf>
    <xf numFmtId="40" fontId="7" fillId="0" borderId="0" xfId="2" applyNumberFormat="1" applyFont="1" applyFill="1" applyBorder="1" applyAlignment="1">
      <alignment horizontal="left" wrapText="1"/>
    </xf>
    <xf numFmtId="0" fontId="7" fillId="2" borderId="0" xfId="4" applyFont="1" applyFill="1" applyBorder="1" applyAlignment="1">
      <alignment horizontal="left"/>
    </xf>
    <xf numFmtId="43" fontId="7" fillId="0" borderId="0" xfId="2" applyFont="1" applyFill="1" applyBorder="1" applyAlignment="1">
      <alignment horizontal="left" wrapText="1"/>
    </xf>
    <xf numFmtId="43" fontId="7" fillId="0" borderId="0" xfId="2" applyFont="1" applyFill="1" applyBorder="1" applyAlignment="1">
      <alignment horizontal="center"/>
    </xf>
    <xf numFmtId="43" fontId="7" fillId="0" borderId="0" xfId="2" applyFont="1" applyFill="1" applyBorder="1" applyAlignment="1">
      <alignment horizontal="left"/>
    </xf>
    <xf numFmtId="0" fontId="7" fillId="0" borderId="0" xfId="4" applyFont="1" applyFill="1" applyBorder="1" applyAlignment="1">
      <alignment horizontal="right"/>
    </xf>
    <xf numFmtId="1" fontId="7" fillId="0" borderId="0" xfId="2" applyNumberFormat="1" applyFont="1" applyFill="1" applyBorder="1" applyAlignment="1">
      <alignment horizontal="left"/>
    </xf>
    <xf numFmtId="164" fontId="7" fillId="0" borderId="0" xfId="2" applyNumberFormat="1" applyFont="1" applyFill="1" applyBorder="1" applyAlignment="1">
      <alignment horizontal="left"/>
    </xf>
    <xf numFmtId="43" fontId="7" fillId="0" borderId="0" xfId="2" applyFont="1" applyFill="1" applyBorder="1"/>
    <xf numFmtId="43" fontId="7" fillId="0" borderId="0" xfId="2" applyFont="1" applyFill="1" applyBorder="1" applyAlignment="1">
      <alignment wrapText="1"/>
    </xf>
    <xf numFmtId="43" fontId="7" fillId="0" borderId="0" xfId="2" applyFont="1" applyFill="1" applyBorder="1" applyAlignment="1">
      <alignment vertical="justify"/>
    </xf>
    <xf numFmtId="40" fontId="7" fillId="0" borderId="0" xfId="2" applyNumberFormat="1" applyFont="1" applyFill="1" applyBorder="1" applyAlignment="1">
      <alignment horizontal="left" vertical="justify"/>
    </xf>
    <xf numFmtId="40" fontId="7" fillId="0" borderId="0" xfId="2" applyNumberFormat="1" applyFont="1" applyFill="1" applyBorder="1" applyAlignment="1">
      <alignment horizontal="right" vertical="justify"/>
    </xf>
    <xf numFmtId="1" fontId="7" fillId="0" borderId="0" xfId="4" applyNumberFormat="1" applyFont="1" applyFill="1" applyBorder="1" applyAlignment="1">
      <alignment horizontal="left" vertical="justify"/>
    </xf>
    <xf numFmtId="164" fontId="7" fillId="0" borderId="0" xfId="4" applyNumberFormat="1" applyFont="1" applyFill="1" applyBorder="1" applyAlignment="1">
      <alignment horizontal="left" vertical="justify"/>
    </xf>
    <xf numFmtId="40" fontId="7" fillId="0" borderId="0" xfId="2" applyNumberFormat="1" applyFont="1" applyFill="1" applyBorder="1" applyAlignment="1">
      <alignment vertical="center" wrapText="1"/>
    </xf>
    <xf numFmtId="40" fontId="7" fillId="0" borderId="0" xfId="2" applyNumberFormat="1" applyFont="1" applyFill="1" applyBorder="1" applyAlignment="1">
      <alignment vertical="center"/>
    </xf>
    <xf numFmtId="0" fontId="7" fillId="0" borderId="0" xfId="4" applyFont="1" applyFill="1" applyBorder="1" applyAlignment="1">
      <alignment horizontal="left" vertical="center"/>
    </xf>
    <xf numFmtId="1" fontId="7" fillId="0" borderId="0" xfId="4" applyNumberFormat="1" applyFont="1" applyFill="1" applyBorder="1" applyAlignment="1">
      <alignment horizontal="left" vertical="center"/>
    </xf>
    <xf numFmtId="164" fontId="7" fillId="0" borderId="0" xfId="4" applyNumberFormat="1" applyFont="1" applyFill="1" applyBorder="1" applyAlignment="1">
      <alignment horizontal="left" vertical="center"/>
    </xf>
    <xf numFmtId="168" fontId="7" fillId="0" borderId="0" xfId="4" applyNumberFormat="1" applyFont="1" applyFill="1" applyBorder="1" applyAlignment="1">
      <alignment horizontal="left"/>
    </xf>
    <xf numFmtId="0" fontId="8" fillId="0" borderId="0" xfId="4" applyFont="1" applyFill="1" applyAlignment="1">
      <alignment horizontal="center" vertical="justify"/>
    </xf>
    <xf numFmtId="0" fontId="15" fillId="6" borderId="0" xfId="4" applyFont="1" applyFill="1" applyBorder="1" applyAlignment="1">
      <alignment vertical="justify"/>
    </xf>
    <xf numFmtId="0" fontId="8" fillId="2" borderId="11" xfId="4" applyFont="1" applyFill="1" applyBorder="1" applyAlignment="1">
      <alignment horizontal="center" vertical="justify"/>
    </xf>
    <xf numFmtId="40" fontId="8" fillId="3" borderId="4" xfId="4" applyNumberFormat="1" applyFont="1" applyFill="1" applyBorder="1" applyAlignment="1">
      <alignment vertical="justify"/>
    </xf>
    <xf numFmtId="40" fontId="8" fillId="3" borderId="4" xfId="4" applyNumberFormat="1" applyFont="1" applyFill="1" applyBorder="1" applyAlignment="1">
      <alignment horizontal="right" vertical="justify"/>
    </xf>
    <xf numFmtId="40" fontId="8" fillId="2" borderId="11" xfId="4" applyNumberFormat="1" applyFont="1" applyFill="1" applyBorder="1" applyAlignment="1">
      <alignment horizontal="center" vertical="justify"/>
    </xf>
    <xf numFmtId="1" fontId="8" fillId="2" borderId="11" xfId="4" applyNumberFormat="1" applyFont="1" applyFill="1" applyBorder="1" applyAlignment="1">
      <alignment horizontal="center" vertical="justify"/>
    </xf>
    <xf numFmtId="164" fontId="8" fillId="2" borderId="11" xfId="4" applyNumberFormat="1" applyFont="1" applyFill="1" applyBorder="1" applyAlignment="1">
      <alignment horizontal="center" vertical="justify"/>
    </xf>
    <xf numFmtId="0" fontId="8" fillId="2" borderId="11" xfId="4" applyFont="1" applyFill="1" applyBorder="1" applyAlignment="1">
      <alignment horizontal="left" vertical="justify"/>
    </xf>
    <xf numFmtId="14" fontId="7" fillId="6" borderId="0" xfId="4" applyNumberFormat="1" applyFont="1" applyFill="1" applyBorder="1"/>
    <xf numFmtId="40" fontId="7" fillId="0" borderId="0" xfId="4" applyNumberFormat="1" applyFont="1" applyFill="1" applyAlignment="1">
      <alignment horizontal="center"/>
    </xf>
    <xf numFmtId="0" fontId="7" fillId="0" borderId="0" xfId="4" applyFont="1" applyFill="1" applyAlignment="1">
      <alignment horizontal="center"/>
    </xf>
    <xf numFmtId="0" fontId="5" fillId="0" borderId="0" xfId="4" applyFont="1" applyFill="1"/>
    <xf numFmtId="0" fontId="12" fillId="0" borderId="0" xfId="4" applyFont="1" applyFill="1"/>
    <xf numFmtId="4" fontId="8" fillId="0" borderId="0" xfId="4" applyNumberFormat="1" applyFont="1" applyFill="1" applyBorder="1"/>
    <xf numFmtId="4" fontId="8" fillId="0" borderId="5" xfId="4" applyNumberFormat="1" applyFont="1" applyFill="1" applyBorder="1"/>
    <xf numFmtId="0" fontId="7" fillId="9" borderId="0" xfId="4" applyFont="1" applyFill="1"/>
    <xf numFmtId="4" fontId="7" fillId="9" borderId="0" xfId="4" applyNumberFormat="1" applyFont="1" applyFill="1" applyAlignment="1">
      <alignment wrapText="1"/>
    </xf>
    <xf numFmtId="4" fontId="7" fillId="9" borderId="0" xfId="4" applyNumberFormat="1" applyFont="1" applyFill="1"/>
    <xf numFmtId="0" fontId="7" fillId="9" borderId="0" xfId="4" applyFont="1" applyFill="1" applyAlignment="1">
      <alignment horizontal="center"/>
    </xf>
    <xf numFmtId="4" fontId="7" fillId="0" borderId="0" xfId="4" applyNumberFormat="1" applyFont="1" applyFill="1" applyAlignment="1">
      <alignment wrapText="1"/>
    </xf>
    <xf numFmtId="4" fontId="7" fillId="0" borderId="0" xfId="4" applyNumberFormat="1" applyFont="1" applyFill="1"/>
    <xf numFmtId="4" fontId="11" fillId="0" borderId="0" xfId="4" applyNumberFormat="1" applyFont="1" applyFill="1"/>
    <xf numFmtId="0" fontId="8" fillId="0" borderId="0" xfId="4" applyFont="1" applyFill="1"/>
    <xf numFmtId="0" fontId="8" fillId="0" borderId="0" xfId="4" applyFont="1" applyFill="1" applyAlignment="1">
      <alignment horizontal="center"/>
    </xf>
    <xf numFmtId="0" fontId="8" fillId="3" borderId="4" xfId="4" applyFont="1" applyFill="1" applyBorder="1"/>
    <xf numFmtId="0" fontId="8" fillId="3" borderId="4" xfId="4" applyFont="1" applyFill="1" applyBorder="1" applyAlignment="1">
      <alignment horizontal="center"/>
    </xf>
    <xf numFmtId="0" fontId="6" fillId="0" borderId="0" xfId="3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4" applyFont="1" applyFill="1" applyAlignment="1">
      <alignment horizontal="center"/>
    </xf>
    <xf numFmtId="0" fontId="7" fillId="0" borderId="0" xfId="3" applyFont="1" applyFill="1" applyAlignment="1">
      <alignment horizontal="center"/>
    </xf>
    <xf numFmtId="40" fontId="8" fillId="0" borderId="0" xfId="2" applyNumberFormat="1" applyFont="1" applyFill="1"/>
    <xf numFmtId="40" fontId="8" fillId="0" borderId="9" xfId="2" applyNumberFormat="1" applyFont="1" applyFill="1" applyBorder="1"/>
    <xf numFmtId="40" fontId="8" fillId="0" borderId="0" xfId="2" applyNumberFormat="1" applyFont="1" applyFill="1" applyBorder="1" applyAlignment="1">
      <alignment wrapText="1"/>
    </xf>
    <xf numFmtId="0" fontId="7" fillId="10" borderId="0" xfId="4" applyFont="1" applyFill="1" applyAlignment="1">
      <alignment horizontal="left" wrapText="1"/>
    </xf>
    <xf numFmtId="164" fontId="7" fillId="10" borderId="0" xfId="4" applyNumberFormat="1" applyFont="1" applyFill="1" applyAlignment="1">
      <alignment horizontal="left" wrapText="1"/>
    </xf>
    <xf numFmtId="1" fontId="7" fillId="10" borderId="0" xfId="4" applyNumberFormat="1" applyFont="1" applyFill="1" applyAlignment="1">
      <alignment horizontal="left" wrapText="1"/>
    </xf>
    <xf numFmtId="40" fontId="7" fillId="10" borderId="0" xfId="2" applyNumberFormat="1" applyFont="1" applyFill="1" applyAlignment="1">
      <alignment wrapText="1"/>
    </xf>
    <xf numFmtId="0" fontId="7" fillId="10" borderId="0" xfId="4" applyFont="1" applyFill="1" applyAlignment="1">
      <alignment wrapText="1"/>
    </xf>
    <xf numFmtId="40" fontId="7" fillId="10" borderId="0" xfId="4" applyNumberFormat="1" applyFont="1" applyFill="1" applyAlignment="1">
      <alignment wrapText="1"/>
    </xf>
    <xf numFmtId="0" fontId="7" fillId="11" borderId="0" xfId="4" applyFont="1" applyFill="1" applyBorder="1"/>
    <xf numFmtId="0" fontId="7" fillId="11" borderId="0" xfId="4" applyFont="1" applyFill="1" applyBorder="1" applyAlignment="1">
      <alignment wrapText="1"/>
    </xf>
    <xf numFmtId="0" fontId="7" fillId="11" borderId="0" xfId="4" applyFont="1" applyFill="1" applyBorder="1" applyAlignment="1">
      <alignment horizontal="left"/>
    </xf>
    <xf numFmtId="14" fontId="7" fillId="11" borderId="0" xfId="4" applyNumberFormat="1" applyFont="1" applyFill="1" applyBorder="1" applyAlignment="1">
      <alignment horizontal="left"/>
    </xf>
    <xf numFmtId="1" fontId="7" fillId="11" borderId="0" xfId="4" applyNumberFormat="1" applyFont="1" applyFill="1" applyBorder="1" applyAlignment="1">
      <alignment horizontal="left"/>
    </xf>
    <xf numFmtId="4" fontId="7" fillId="11" borderId="0" xfId="4" applyNumberFormat="1" applyFont="1" applyFill="1" applyBorder="1"/>
    <xf numFmtId="40" fontId="7" fillId="11" borderId="0" xfId="4" applyNumberFormat="1" applyFont="1" applyFill="1" applyBorder="1"/>
    <xf numFmtId="0" fontId="6" fillId="0" borderId="0" xfId="3" applyFont="1" applyAlignment="1">
      <alignment horizontal="right"/>
    </xf>
    <xf numFmtId="40" fontId="6" fillId="0" borderId="0" xfId="0" applyNumberFormat="1" applyFont="1" applyFill="1" applyBorder="1" applyAlignment="1">
      <alignment horizontal="right"/>
    </xf>
    <xf numFmtId="0" fontId="6" fillId="0" borderId="0" xfId="3" applyFont="1" applyFill="1" applyBorder="1"/>
    <xf numFmtId="4" fontId="6" fillId="0" borderId="0" xfId="3" applyNumberFormat="1" applyFont="1" applyFill="1" applyBorder="1"/>
    <xf numFmtId="4" fontId="6" fillId="0" borderId="0" xfId="3" applyNumberFormat="1" applyFont="1" applyFill="1" applyBorder="1" applyAlignment="1">
      <alignment wrapText="1"/>
    </xf>
    <xf numFmtId="0" fontId="6" fillId="0" borderId="0" xfId="3" applyFont="1" applyBorder="1" applyAlignment="1">
      <alignment horizontal="right"/>
    </xf>
    <xf numFmtId="40" fontId="6" fillId="0" borderId="0" xfId="3" applyNumberFormat="1" applyFont="1" applyBorder="1" applyAlignment="1">
      <alignment horizontal="right"/>
    </xf>
    <xf numFmtId="40" fontId="6" fillId="0" borderId="0" xfId="3" applyNumberFormat="1" applyFont="1" applyBorder="1"/>
    <xf numFmtId="164" fontId="6" fillId="0" borderId="0" xfId="0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4" fontId="6" fillId="0" borderId="0" xfId="0" applyNumberFormat="1" applyFont="1" applyFill="1" applyBorder="1"/>
    <xf numFmtId="0" fontId="6" fillId="7" borderId="0" xfId="0" applyFont="1" applyFill="1" applyBorder="1" applyAlignment="1">
      <alignment horizontal="left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0" applyFont="1" applyBorder="1"/>
    <xf numFmtId="14" fontId="6" fillId="0" borderId="0" xfId="4" applyNumberFormat="1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43" fontId="6" fillId="0" borderId="0" xfId="2" applyFont="1" applyBorder="1"/>
    <xf numFmtId="43" fontId="6" fillId="0" borderId="0" xfId="0" applyNumberFormat="1" applyFont="1" applyBorder="1"/>
    <xf numFmtId="4" fontId="17" fillId="0" borderId="2" xfId="0" applyNumberFormat="1" applyFont="1" applyBorder="1"/>
    <xf numFmtId="4" fontId="17" fillId="0" borderId="0" xfId="0" applyNumberFormat="1" applyFont="1" applyBorder="1"/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vertical="justify"/>
    </xf>
    <xf numFmtId="43" fontId="7" fillId="0" borderId="0" xfId="2" applyFont="1" applyBorder="1"/>
    <xf numFmtId="43" fontId="7" fillId="0" borderId="0" xfId="0" applyNumberFormat="1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43" fontId="8" fillId="0" borderId="2" xfId="2" applyFont="1" applyBorder="1"/>
    <xf numFmtId="4" fontId="7" fillId="0" borderId="0" xfId="0" applyNumberFormat="1" applyFont="1" applyFill="1" applyBorder="1"/>
    <xf numFmtId="4" fontId="8" fillId="0" borderId="2" xfId="0" applyNumberFormat="1" applyFont="1" applyBorder="1"/>
    <xf numFmtId="4" fontId="8" fillId="0" borderId="0" xfId="0" applyNumberFormat="1" applyFont="1" applyBorder="1"/>
    <xf numFmtId="43" fontId="8" fillId="0" borderId="2" xfId="0" applyNumberFormat="1" applyFont="1" applyBorder="1"/>
    <xf numFmtId="4" fontId="8" fillId="0" borderId="9" xfId="0" applyNumberFormat="1" applyFont="1" applyBorder="1"/>
    <xf numFmtId="0" fontId="18" fillId="0" borderId="0" xfId="0" applyFont="1"/>
    <xf numFmtId="0" fontId="6" fillId="0" borderId="0" xfId="0" applyFont="1" applyFill="1"/>
    <xf numFmtId="43" fontId="6" fillId="0" borderId="0" xfId="0" applyNumberFormat="1" applyFont="1" applyFill="1"/>
    <xf numFmtId="4" fontId="6" fillId="0" borderId="0" xfId="0" applyNumberFormat="1" applyFont="1" applyFill="1"/>
    <xf numFmtId="0" fontId="19" fillId="0" borderId="0" xfId="0" applyFont="1"/>
    <xf numFmtId="0" fontId="17" fillId="2" borderId="11" xfId="0" applyFont="1" applyFill="1" applyBorder="1" applyAlignment="1">
      <alignment vertical="justify"/>
    </xf>
    <xf numFmtId="0" fontId="17" fillId="2" borderId="11" xfId="0" applyFont="1" applyFill="1" applyBorder="1" applyAlignment="1">
      <alignment horizontal="left" vertical="justify"/>
    </xf>
    <xf numFmtId="0" fontId="8" fillId="2" borderId="11" xfId="0" applyFont="1" applyFill="1" applyBorder="1" applyAlignment="1">
      <alignment vertical="justify"/>
    </xf>
    <xf numFmtId="0" fontId="17" fillId="0" borderId="0" xfId="0" applyFont="1" applyAlignment="1">
      <alignment vertical="justify"/>
    </xf>
    <xf numFmtId="4" fontId="6" fillId="0" borderId="0" xfId="0" applyNumberFormat="1" applyFont="1" applyBorder="1"/>
    <xf numFmtId="0" fontId="6" fillId="0" borderId="0" xfId="0" applyFont="1" applyFill="1" applyBorder="1" applyAlignment="1">
      <alignment vertical="justify"/>
    </xf>
    <xf numFmtId="43" fontId="17" fillId="0" borderId="2" xfId="0" applyNumberFormat="1" applyFont="1" applyFill="1" applyBorder="1"/>
    <xf numFmtId="4" fontId="17" fillId="0" borderId="2" xfId="0" applyNumberFormat="1" applyFont="1" applyFill="1" applyBorder="1"/>
    <xf numFmtId="0" fontId="17" fillId="0" borderId="0" xfId="0" applyFont="1" applyFill="1" applyBorder="1"/>
    <xf numFmtId="43" fontId="6" fillId="0" borderId="0" xfId="0" applyNumberFormat="1" applyFont="1" applyFill="1" applyBorder="1"/>
    <xf numFmtId="0" fontId="6" fillId="5" borderId="0" xfId="0" applyFont="1" applyFill="1" applyBorder="1"/>
    <xf numFmtId="0" fontId="6" fillId="5" borderId="0" xfId="0" applyFont="1" applyFill="1" applyBorder="1" applyAlignment="1">
      <alignment horizontal="left"/>
    </xf>
    <xf numFmtId="4" fontId="6" fillId="5" borderId="0" xfId="0" applyNumberFormat="1" applyFont="1" applyFill="1" applyBorder="1"/>
    <xf numFmtId="43" fontId="6" fillId="5" borderId="0" xfId="0" applyNumberFormat="1" applyFont="1" applyFill="1" applyBorder="1"/>
    <xf numFmtId="40" fontId="6" fillId="0" borderId="0" xfId="0" applyNumberFormat="1" applyFont="1" applyBorder="1"/>
    <xf numFmtId="4" fontId="6" fillId="0" borderId="0" xfId="0" applyNumberFormat="1" applyFont="1" applyBorder="1" applyAlignment="1">
      <alignment horizontal="left"/>
    </xf>
    <xf numFmtId="43" fontId="6" fillId="0" borderId="0" xfId="0" applyNumberFormat="1" applyFont="1"/>
    <xf numFmtId="4" fontId="6" fillId="0" borderId="0" xfId="0" applyNumberFormat="1" applyFont="1"/>
    <xf numFmtId="4" fontId="7" fillId="0" borderId="7" xfId="3" applyNumberFormat="1" applyFont="1" applyFill="1" applyBorder="1"/>
    <xf numFmtId="43" fontId="7" fillId="0" borderId="0" xfId="2" applyFont="1"/>
    <xf numFmtId="4" fontId="8" fillId="0" borderId="6" xfId="3" applyNumberFormat="1" applyFont="1" applyFill="1" applyBorder="1"/>
    <xf numFmtId="0" fontId="6" fillId="0" borderId="0" xfId="3" applyFont="1" applyAlignment="1">
      <alignment vertical="justify"/>
    </xf>
    <xf numFmtId="40" fontId="6" fillId="0" borderId="0" xfId="3" applyNumberFormat="1" applyFont="1"/>
    <xf numFmtId="165" fontId="6" fillId="0" borderId="0" xfId="3" applyNumberFormat="1" applyFont="1"/>
    <xf numFmtId="40" fontId="0" fillId="0" borderId="0" xfId="0" applyNumberFormat="1"/>
    <xf numFmtId="40" fontId="0" fillId="0" borderId="2" xfId="0" applyNumberFormat="1" applyBorder="1"/>
    <xf numFmtId="40" fontId="0" fillId="0" borderId="10" xfId="0" applyNumberFormat="1" applyBorder="1"/>
    <xf numFmtId="0" fontId="10" fillId="0" borderId="0" xfId="0" applyFont="1"/>
    <xf numFmtId="40" fontId="7" fillId="0" borderId="0" xfId="3" applyNumberFormat="1" applyFont="1" applyAlignment="1">
      <alignment vertical="justify"/>
    </xf>
    <xf numFmtId="40" fontId="10" fillId="0" borderId="9" xfId="0" applyNumberFormat="1" applyFont="1" applyBorder="1"/>
    <xf numFmtId="0" fontId="6" fillId="0" borderId="0" xfId="3" applyFont="1" applyAlignment="1"/>
    <xf numFmtId="40" fontId="8" fillId="0" borderId="0" xfId="0" applyNumberFormat="1" applyFont="1" applyFill="1" applyBorder="1" applyAlignment="1">
      <alignment horizontal="right"/>
    </xf>
    <xf numFmtId="40" fontId="8" fillId="0" borderId="2" xfId="0" applyNumberFormat="1" applyFont="1" applyFill="1" applyBorder="1" applyAlignment="1">
      <alignment horizontal="right"/>
    </xf>
    <xf numFmtId="40" fontId="8" fillId="0" borderId="9" xfId="0" applyNumberFormat="1" applyFont="1" applyFill="1" applyBorder="1" applyAlignment="1">
      <alignment horizontal="right"/>
    </xf>
    <xf numFmtId="0" fontId="20" fillId="0" borderId="0" xfId="5"/>
    <xf numFmtId="0" fontId="10" fillId="0" borderId="0" xfId="5" applyFont="1" applyAlignment="1">
      <alignment horizontal="left"/>
    </xf>
    <xf numFmtId="0" fontId="20" fillId="0" borderId="0" xfId="5" applyAlignment="1">
      <alignment horizontal="left"/>
    </xf>
    <xf numFmtId="0" fontId="20" fillId="0" borderId="0" xfId="5" applyAlignment="1">
      <alignment horizontal="right"/>
    </xf>
    <xf numFmtId="14" fontId="20" fillId="0" borderId="0" xfId="5" applyNumberFormat="1" applyAlignment="1">
      <alignment horizontal="left"/>
    </xf>
    <xf numFmtId="0" fontId="10" fillId="3" borderId="4" xfId="5" applyFont="1" applyFill="1" applyBorder="1" applyAlignment="1">
      <alignment vertical="justify"/>
    </xf>
    <xf numFmtId="40" fontId="10" fillId="3" borderId="4" xfId="5" applyNumberFormat="1" applyFont="1" applyFill="1" applyBorder="1" applyAlignment="1">
      <alignment horizontal="right" vertical="justify"/>
    </xf>
    <xf numFmtId="0" fontId="10" fillId="3" borderId="4" xfId="5" applyFont="1" applyFill="1" applyBorder="1" applyAlignment="1">
      <alignment horizontal="right" vertical="justify"/>
    </xf>
    <xf numFmtId="169" fontId="10" fillId="3" borderId="4" xfId="5" applyNumberFormat="1" applyFont="1" applyFill="1" applyBorder="1" applyAlignment="1">
      <alignment horizontal="right" vertical="justify"/>
    </xf>
    <xf numFmtId="4" fontId="10" fillId="3" borderId="4" xfId="5" applyNumberFormat="1" applyFont="1" applyFill="1" applyBorder="1" applyAlignment="1">
      <alignment horizontal="right" vertical="justify"/>
    </xf>
    <xf numFmtId="0" fontId="10" fillId="0" borderId="0" xfId="5" applyFont="1" applyAlignment="1">
      <alignment vertical="justify"/>
    </xf>
    <xf numFmtId="0" fontId="10" fillId="0" borderId="0" xfId="5" applyFont="1"/>
    <xf numFmtId="0" fontId="10" fillId="0" borderId="0" xfId="5" applyFont="1" applyAlignment="1">
      <alignment horizontal="right"/>
    </xf>
    <xf numFmtId="40" fontId="20" fillId="0" borderId="0" xfId="5" applyNumberFormat="1"/>
    <xf numFmtId="169" fontId="20" fillId="0" borderId="0" xfId="5" applyNumberFormat="1" applyFill="1"/>
    <xf numFmtId="4" fontId="20" fillId="0" borderId="0" xfId="5" applyNumberFormat="1" applyAlignment="1">
      <alignment horizontal="right"/>
    </xf>
    <xf numFmtId="40" fontId="20" fillId="0" borderId="2" xfId="5" applyNumberFormat="1" applyBorder="1"/>
    <xf numFmtId="40" fontId="20" fillId="0" borderId="2" xfId="5" applyNumberFormat="1" applyBorder="1" applyAlignment="1">
      <alignment horizontal="right"/>
    </xf>
    <xf numFmtId="40" fontId="20" fillId="0" borderId="0" xfId="5" applyNumberFormat="1" applyBorder="1"/>
    <xf numFmtId="40" fontId="20" fillId="0" borderId="0" xfId="5" applyNumberFormat="1" applyBorder="1" applyAlignment="1">
      <alignment horizontal="right"/>
    </xf>
    <xf numFmtId="40" fontId="10" fillId="0" borderId="0" xfId="5" applyNumberFormat="1" applyFont="1"/>
    <xf numFmtId="169" fontId="10" fillId="0" borderId="0" xfId="5" applyNumberFormat="1" applyFont="1" applyFill="1"/>
    <xf numFmtId="4" fontId="10" fillId="0" borderId="0" xfId="5" applyNumberFormat="1" applyFont="1" applyAlignment="1">
      <alignment horizontal="right"/>
    </xf>
    <xf numFmtId="40" fontId="20" fillId="0" borderId="9" xfId="5" applyNumberFormat="1" applyBorder="1"/>
    <xf numFmtId="40" fontId="20" fillId="0" borderId="9" xfId="5" applyNumberFormat="1" applyBorder="1" applyAlignment="1">
      <alignment horizontal="right"/>
    </xf>
    <xf numFmtId="0" fontId="20" fillId="0" borderId="0" xfId="5" applyFill="1"/>
    <xf numFmtId="40" fontId="20" fillId="0" borderId="0" xfId="5" applyNumberFormat="1" applyFill="1"/>
    <xf numFmtId="170" fontId="20" fillId="0" borderId="0" xfId="5" applyNumberFormat="1" applyFill="1"/>
    <xf numFmtId="4" fontId="20" fillId="0" borderId="0" xfId="5" applyNumberFormat="1" applyFill="1" applyAlignment="1">
      <alignment horizontal="right"/>
    </xf>
    <xf numFmtId="43" fontId="13" fillId="7" borderId="0" xfId="2" applyFont="1" applyFill="1" applyBorder="1" applyAlignment="1">
      <alignment vertical="center" wrapText="1"/>
    </xf>
    <xf numFmtId="4" fontId="22" fillId="0" borderId="9" xfId="0" applyNumberFormat="1" applyFont="1" applyBorder="1"/>
    <xf numFmtId="40" fontId="8" fillId="0" borderId="2" xfId="2" applyNumberFormat="1" applyFont="1" applyFill="1" applyBorder="1"/>
    <xf numFmtId="0" fontId="8" fillId="0" borderId="0" xfId="6" applyFont="1" applyFill="1"/>
    <xf numFmtId="40" fontId="8" fillId="0" borderId="2" xfId="6" applyNumberFormat="1" applyFont="1" applyFill="1" applyBorder="1"/>
    <xf numFmtId="4" fontId="7" fillId="0" borderId="0" xfId="0" applyNumberFormat="1" applyFont="1" applyBorder="1"/>
    <xf numFmtId="1" fontId="8" fillId="6" borderId="0" xfId="0" applyNumberFormat="1" applyFont="1" applyFill="1" applyBorder="1" applyAlignment="1">
      <alignment horizontal="center"/>
    </xf>
    <xf numFmtId="43" fontId="7" fillId="0" borderId="2" xfId="0" applyNumberFormat="1" applyFont="1" applyBorder="1"/>
    <xf numFmtId="4" fontId="8" fillId="0" borderId="10" xfId="0" applyNumberFormat="1" applyFont="1" applyBorder="1"/>
    <xf numFmtId="0" fontId="7" fillId="0" borderId="0" xfId="6" applyFont="1" applyFill="1" applyAlignment="1">
      <alignment horizontal="left"/>
    </xf>
    <xf numFmtId="14" fontId="7" fillId="0" borderId="0" xfId="6" applyNumberFormat="1" applyFont="1" applyFill="1" applyBorder="1" applyAlignment="1">
      <alignment horizontal="left"/>
    </xf>
    <xf numFmtId="164" fontId="7" fillId="0" borderId="0" xfId="6" applyNumberFormat="1" applyFont="1" applyFill="1" applyAlignment="1">
      <alignment horizontal="left"/>
    </xf>
    <xf numFmtId="1" fontId="7" fillId="0" borderId="0" xfId="6" applyNumberFormat="1" applyFont="1" applyFill="1" applyAlignment="1">
      <alignment horizontal="left"/>
    </xf>
    <xf numFmtId="0" fontId="7" fillId="0" borderId="0" xfId="6" applyFont="1" applyFill="1" applyBorder="1" applyAlignment="1">
      <alignment horizontal="left"/>
    </xf>
    <xf numFmtId="0" fontId="7" fillId="0" borderId="0" xfId="6" applyFont="1" applyFill="1"/>
    <xf numFmtId="0" fontId="7" fillId="0" borderId="0" xfId="6" applyFont="1" applyFill="1" applyBorder="1"/>
    <xf numFmtId="40" fontId="7" fillId="0" borderId="0" xfId="6" applyNumberFormat="1" applyFont="1" applyFill="1" applyBorder="1"/>
    <xf numFmtId="40" fontId="7" fillId="0" borderId="0" xfId="6" applyNumberFormat="1" applyFont="1" applyFill="1" applyBorder="1" applyAlignment="1">
      <alignment wrapText="1"/>
    </xf>
    <xf numFmtId="1" fontId="7" fillId="6" borderId="0" xfId="6" applyNumberFormat="1" applyFont="1" applyFill="1" applyBorder="1" applyAlignment="1">
      <alignment horizontal="center"/>
    </xf>
    <xf numFmtId="0" fontId="8" fillId="0" borderId="0" xfId="6" applyFont="1" applyFill="1" applyBorder="1"/>
    <xf numFmtId="0" fontId="7" fillId="0" borderId="0" xfId="0" applyFont="1" applyFill="1" applyBorder="1" applyAlignment="1">
      <alignment horizontal="right" vertical="center"/>
    </xf>
    <xf numFmtId="0" fontId="7" fillId="12" borderId="0" xfId="0" applyFont="1" applyFill="1" applyBorder="1" applyAlignment="1">
      <alignment horizontal="left"/>
    </xf>
    <xf numFmtId="14" fontId="7" fillId="12" borderId="0" xfId="0" applyNumberFormat="1" applyFont="1" applyFill="1" applyBorder="1" applyAlignment="1">
      <alignment horizontal="left"/>
    </xf>
    <xf numFmtId="164" fontId="7" fillId="12" borderId="0" xfId="0" applyNumberFormat="1" applyFont="1" applyFill="1" applyBorder="1" applyAlignment="1">
      <alignment horizontal="left"/>
    </xf>
    <xf numFmtId="1" fontId="7" fillId="12" borderId="0" xfId="0" applyNumberFormat="1" applyFont="1" applyFill="1" applyBorder="1" applyAlignment="1">
      <alignment horizontal="left"/>
    </xf>
    <xf numFmtId="43" fontId="13" fillId="12" borderId="0" xfId="2" applyFont="1" applyFill="1" applyBorder="1"/>
    <xf numFmtId="0" fontId="7" fillId="12" borderId="0" xfId="0" applyFont="1" applyFill="1" applyBorder="1"/>
    <xf numFmtId="40" fontId="7" fillId="12" borderId="0" xfId="0" applyNumberFormat="1" applyFont="1" applyFill="1" applyBorder="1" applyAlignment="1">
      <alignment horizontal="right"/>
    </xf>
    <xf numFmtId="40" fontId="7" fillId="12" borderId="0" xfId="0" applyNumberFormat="1" applyFont="1" applyFill="1" applyBorder="1" applyAlignment="1"/>
    <xf numFmtId="1" fontId="7" fillId="1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 wrapText="1"/>
    </xf>
    <xf numFmtId="14" fontId="7" fillId="2" borderId="0" xfId="0" applyNumberFormat="1" applyFont="1" applyFill="1" applyBorder="1" applyAlignment="1">
      <alignment horizontal="left"/>
    </xf>
    <xf numFmtId="164" fontId="7" fillId="2" borderId="0" xfId="0" applyNumberFormat="1" applyFont="1" applyFill="1" applyBorder="1" applyAlignment="1">
      <alignment horizontal="left"/>
    </xf>
    <xf numFmtId="1" fontId="7" fillId="2" borderId="0" xfId="0" applyNumberFormat="1" applyFont="1" applyFill="1" applyBorder="1" applyAlignment="1">
      <alignment horizontal="left"/>
    </xf>
    <xf numFmtId="40" fontId="7" fillId="2" borderId="0" xfId="0" applyNumberFormat="1" applyFont="1" applyFill="1" applyBorder="1" applyAlignment="1">
      <alignment horizontal="right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right"/>
    </xf>
    <xf numFmtId="40" fontId="7" fillId="2" borderId="0" xfId="0" applyNumberFormat="1" applyFont="1" applyFill="1" applyBorder="1" applyAlignment="1"/>
    <xf numFmtId="1" fontId="7" fillId="2" borderId="0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 wrapText="1"/>
    </xf>
    <xf numFmtId="0" fontId="0" fillId="0" borderId="0" xfId="0" applyBorder="1" applyAlignment="1">
      <alignment wrapText="1"/>
    </xf>
    <xf numFmtId="0" fontId="0" fillId="0" borderId="0" xfId="0" applyFont="1" applyBorder="1" applyAlignment="1">
      <alignment wrapText="1"/>
    </xf>
    <xf numFmtId="0" fontId="8" fillId="0" borderId="0" xfId="4" applyFont="1" applyFill="1" applyAlignment="1">
      <alignment horizontal="left"/>
    </xf>
    <xf numFmtId="164" fontId="8" fillId="0" borderId="0" xfId="4" applyNumberFormat="1" applyFont="1" applyFill="1" applyAlignment="1">
      <alignment horizontal="left"/>
    </xf>
    <xf numFmtId="1" fontId="8" fillId="0" borderId="0" xfId="4" applyNumberFormat="1" applyFont="1" applyFill="1" applyAlignment="1">
      <alignment horizontal="left"/>
    </xf>
    <xf numFmtId="40" fontId="8" fillId="0" borderId="0" xfId="2" applyNumberFormat="1" applyFont="1" applyFill="1" applyBorder="1"/>
    <xf numFmtId="40" fontId="8" fillId="0" borderId="0" xfId="6" applyNumberFormat="1" applyFont="1" applyFill="1" applyBorder="1"/>
    <xf numFmtId="0" fontId="1" fillId="0" borderId="3" xfId="13" applyBorder="1" applyAlignment="1">
      <alignment horizontal="center" vertical="center" wrapText="1"/>
    </xf>
    <xf numFmtId="0" fontId="1" fillId="0" borderId="3" xfId="13" applyBorder="1" applyAlignment="1">
      <alignment horizontal="left" vertical="center"/>
    </xf>
    <xf numFmtId="0" fontId="1" fillId="0" borderId="3" xfId="13" applyBorder="1" applyAlignment="1">
      <alignment horizontal="center" vertical="center" wrapText="1"/>
    </xf>
    <xf numFmtId="0" fontId="23" fillId="0" borderId="0" xfId="4" applyFont="1" applyFill="1" applyBorder="1" applyAlignment="1">
      <alignment horizontal="left"/>
    </xf>
    <xf numFmtId="14" fontId="23" fillId="0" borderId="0" xfId="4" applyNumberFormat="1" applyFont="1" applyFill="1" applyBorder="1" applyAlignment="1">
      <alignment horizontal="left"/>
    </xf>
    <xf numFmtId="164" fontId="23" fillId="0" borderId="0" xfId="4" applyNumberFormat="1" applyFont="1" applyFill="1" applyBorder="1" applyAlignment="1">
      <alignment horizontal="left"/>
    </xf>
    <xf numFmtId="1" fontId="23" fillId="0" borderId="0" xfId="4" applyNumberFormat="1" applyFont="1" applyFill="1" applyBorder="1" applyAlignment="1">
      <alignment horizontal="left"/>
    </xf>
    <xf numFmtId="40" fontId="23" fillId="0" borderId="0" xfId="2" applyNumberFormat="1" applyFont="1" applyFill="1" applyBorder="1" applyAlignment="1">
      <alignment horizontal="right"/>
    </xf>
    <xf numFmtId="0" fontId="23" fillId="0" borderId="0" xfId="4" applyFont="1" applyFill="1" applyBorder="1"/>
    <xf numFmtId="40" fontId="23" fillId="0" borderId="0" xfId="0" applyNumberFormat="1" applyFont="1" applyFill="1" applyBorder="1" applyAlignment="1">
      <alignment horizontal="right"/>
    </xf>
    <xf numFmtId="40" fontId="23" fillId="0" borderId="0" xfId="4" applyNumberFormat="1" applyFont="1" applyFill="1" applyBorder="1"/>
    <xf numFmtId="40" fontId="23" fillId="0" borderId="0" xfId="2" applyNumberFormat="1" applyFont="1" applyFill="1" applyBorder="1"/>
    <xf numFmtId="0" fontId="0" fillId="0" borderId="4" xfId="0" applyFill="1" applyBorder="1" applyAlignment="1">
      <alignment horizontal="center" vertical="center"/>
    </xf>
    <xf numFmtId="0" fontId="0" fillId="0" borderId="0" xfId="5" applyFont="1" applyAlignment="1">
      <alignment horizontal="left"/>
    </xf>
    <xf numFmtId="43" fontId="20" fillId="0" borderId="0" xfId="2" applyFont="1"/>
    <xf numFmtId="0" fontId="0" fillId="0" borderId="0" xfId="5" applyFont="1"/>
    <xf numFmtId="40" fontId="0" fillId="0" borderId="0" xfId="5" applyNumberFormat="1" applyFont="1"/>
    <xf numFmtId="0" fontId="23" fillId="13" borderId="0" xfId="4" applyFont="1" applyFill="1" applyBorder="1" applyAlignment="1">
      <alignment horizontal="left"/>
    </xf>
    <xf numFmtId="14" fontId="23" fillId="13" borderId="0" xfId="4" applyNumberFormat="1" applyFont="1" applyFill="1" applyBorder="1" applyAlignment="1">
      <alignment horizontal="left"/>
    </xf>
    <xf numFmtId="164" fontId="23" fillId="13" borderId="0" xfId="4" applyNumberFormat="1" applyFont="1" applyFill="1" applyBorder="1" applyAlignment="1">
      <alignment horizontal="left"/>
    </xf>
    <xf numFmtId="1" fontId="23" fillId="13" borderId="0" xfId="4" applyNumberFormat="1" applyFont="1" applyFill="1" applyBorder="1" applyAlignment="1">
      <alignment horizontal="left"/>
    </xf>
    <xf numFmtId="40" fontId="23" fillId="13" borderId="0" xfId="2" applyNumberFormat="1" applyFont="1" applyFill="1" applyBorder="1"/>
    <xf numFmtId="0" fontId="23" fillId="13" borderId="0" xfId="4" applyFont="1" applyFill="1" applyBorder="1"/>
    <xf numFmtId="40" fontId="23" fillId="13" borderId="0" xfId="0" applyNumberFormat="1" applyFont="1" applyFill="1" applyBorder="1" applyAlignment="1">
      <alignment horizontal="right"/>
    </xf>
    <xf numFmtId="40" fontId="23" fillId="13" borderId="0" xfId="4" applyNumberFormat="1" applyFont="1" applyFill="1" applyBorder="1"/>
    <xf numFmtId="43" fontId="23" fillId="13" borderId="0" xfId="4" applyNumberFormat="1" applyFont="1" applyFill="1" applyBorder="1"/>
    <xf numFmtId="1" fontId="23" fillId="13" borderId="0" xfId="4" applyNumberFormat="1" applyFont="1" applyFill="1" applyBorder="1" applyAlignment="1">
      <alignment horizontal="center"/>
    </xf>
    <xf numFmtId="40" fontId="23" fillId="13" borderId="0" xfId="2" applyNumberFormat="1" applyFont="1" applyFill="1" applyBorder="1" applyAlignment="1">
      <alignment horizontal="right"/>
    </xf>
    <xf numFmtId="43" fontId="23" fillId="13" borderId="0" xfId="2" applyFont="1" applyFill="1" applyBorder="1"/>
    <xf numFmtId="0" fontId="23" fillId="13" borderId="0" xfId="4" applyFont="1" applyFill="1" applyBorder="1" applyAlignment="1">
      <alignment wrapText="1"/>
    </xf>
    <xf numFmtId="4" fontId="23" fillId="13" borderId="0" xfId="2" applyNumberFormat="1" applyFont="1" applyFill="1" applyBorder="1"/>
    <xf numFmtId="0" fontId="13" fillId="0" borderId="0" xfId="4" applyFont="1" applyFill="1" applyBorder="1"/>
    <xf numFmtId="0" fontId="13" fillId="0" borderId="0" xfId="4" applyFont="1" applyFill="1" applyBorder="1" applyAlignment="1">
      <alignment wrapText="1"/>
    </xf>
    <xf numFmtId="0" fontId="13" fillId="0" borderId="0" xfId="4" applyFont="1" applyFill="1" applyBorder="1" applyAlignment="1">
      <alignment horizontal="left"/>
    </xf>
    <xf numFmtId="14" fontId="13" fillId="0" borderId="0" xfId="4" applyNumberFormat="1" applyFont="1" applyFill="1" applyBorder="1" applyAlignment="1">
      <alignment horizontal="left"/>
    </xf>
    <xf numFmtId="4" fontId="13" fillId="0" borderId="0" xfId="2" applyNumberFormat="1" applyFont="1" applyFill="1" applyBorder="1"/>
    <xf numFmtId="40" fontId="13" fillId="0" borderId="0" xfId="0" applyNumberFormat="1" applyFont="1" applyFill="1" applyBorder="1" applyAlignment="1">
      <alignment horizontal="right"/>
    </xf>
    <xf numFmtId="40" fontId="13" fillId="0" borderId="0" xfId="4" applyNumberFormat="1" applyFont="1" applyFill="1" applyBorder="1"/>
    <xf numFmtId="43" fontId="13" fillId="0" borderId="0" xfId="4" applyNumberFormat="1" applyFont="1" applyFill="1" applyBorder="1"/>
    <xf numFmtId="1" fontId="13" fillId="0" borderId="0" xfId="4" applyNumberFormat="1" applyFont="1" applyFill="1" applyBorder="1" applyAlignment="1">
      <alignment horizontal="center"/>
    </xf>
    <xf numFmtId="0" fontId="6" fillId="14" borderId="0" xfId="0" applyFont="1" applyFill="1" applyBorder="1" applyAlignment="1">
      <alignment horizontal="left"/>
    </xf>
    <xf numFmtId="40" fontId="6" fillId="14" borderId="0" xfId="0" applyNumberFormat="1" applyFont="1" applyFill="1" applyBorder="1" applyAlignment="1">
      <alignment horizontal="right"/>
    </xf>
    <xf numFmtId="49" fontId="14" fillId="14" borderId="0" xfId="0" applyNumberFormat="1" applyFont="1" applyFill="1" applyBorder="1" applyAlignment="1">
      <alignment horizontal="left" wrapText="1"/>
    </xf>
    <xf numFmtId="40" fontId="7" fillId="0" borderId="0" xfId="0" applyNumberFormat="1" applyFont="1" applyFill="1" applyBorder="1" applyAlignment="1">
      <alignment horizontal="left"/>
    </xf>
    <xf numFmtId="49" fontId="7" fillId="0" borderId="0" xfId="4" applyNumberFormat="1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4" fontId="8" fillId="2" borderId="1" xfId="3" applyNumberFormat="1" applyFont="1" applyFill="1" applyBorder="1" applyAlignment="1">
      <alignment horizontal="center"/>
    </xf>
    <xf numFmtId="164" fontId="8" fillId="2" borderId="2" xfId="3" applyNumberFormat="1" applyFont="1" applyFill="1" applyBorder="1" applyAlignment="1">
      <alignment horizontal="center"/>
    </xf>
    <xf numFmtId="164" fontId="8" fillId="2" borderId="3" xfId="3" applyNumberFormat="1" applyFont="1" applyFill="1" applyBorder="1" applyAlignment="1">
      <alignment horizontal="center"/>
    </xf>
    <xf numFmtId="40" fontId="8" fillId="3" borderId="1" xfId="3" applyNumberFormat="1" applyFont="1" applyFill="1" applyBorder="1" applyAlignment="1">
      <alignment horizontal="center"/>
    </xf>
    <xf numFmtId="40" fontId="8" fillId="3" borderId="3" xfId="3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40" fontId="8" fillId="3" borderId="4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8" fillId="3" borderId="4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3" applyFont="1" applyAlignment="1">
      <alignment horizontal="center"/>
    </xf>
    <xf numFmtId="40" fontId="8" fillId="3" borderId="1" xfId="0" applyNumberFormat="1" applyFont="1" applyFill="1" applyBorder="1" applyAlignment="1">
      <alignment horizontal="center"/>
    </xf>
    <xf numFmtId="40" fontId="8" fillId="3" borderId="2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4" fillId="0" borderId="0" xfId="4" applyFont="1" applyFill="1" applyAlignment="1">
      <alignment horizontal="center"/>
    </xf>
    <xf numFmtId="40" fontId="8" fillId="3" borderId="1" xfId="4" applyNumberFormat="1" applyFont="1" applyFill="1" applyBorder="1" applyAlignment="1">
      <alignment horizontal="center"/>
    </xf>
    <xf numFmtId="40" fontId="8" fillId="3" borderId="3" xfId="4" applyNumberFormat="1" applyFont="1" applyFill="1" applyBorder="1" applyAlignment="1">
      <alignment horizontal="center"/>
    </xf>
    <xf numFmtId="164" fontId="8" fillId="2" borderId="1" xfId="4" applyNumberFormat="1" applyFont="1" applyFill="1" applyBorder="1" applyAlignment="1">
      <alignment horizontal="center"/>
    </xf>
    <xf numFmtId="164" fontId="8" fillId="2" borderId="2" xfId="4" applyNumberFormat="1" applyFont="1" applyFill="1" applyBorder="1" applyAlignment="1">
      <alignment horizontal="center"/>
    </xf>
    <xf numFmtId="164" fontId="8" fillId="2" borderId="3" xfId="4" applyNumberFormat="1" applyFont="1" applyFill="1" applyBorder="1" applyAlignment="1">
      <alignment horizontal="center"/>
    </xf>
    <xf numFmtId="0" fontId="8" fillId="0" borderId="0" xfId="3" applyFont="1" applyFill="1" applyAlignment="1">
      <alignment horizontal="center"/>
    </xf>
    <xf numFmtId="0" fontId="7" fillId="0" borderId="0" xfId="3" applyFont="1" applyFill="1" applyAlignment="1">
      <alignment horizontal="center"/>
    </xf>
    <xf numFmtId="40" fontId="8" fillId="3" borderId="2" xfId="3" applyNumberFormat="1" applyFont="1" applyFill="1" applyBorder="1" applyAlignment="1">
      <alignment horizontal="center"/>
    </xf>
    <xf numFmtId="0" fontId="8" fillId="3" borderId="4" xfId="4" applyFont="1" applyFill="1" applyBorder="1" applyAlignment="1">
      <alignment horizontal="center"/>
    </xf>
    <xf numFmtId="0" fontId="8" fillId="0" borderId="0" xfId="4" applyFont="1" applyFill="1" applyAlignment="1">
      <alignment horizontal="center"/>
    </xf>
    <xf numFmtId="0" fontId="21" fillId="0" borderId="0" xfId="5" applyFont="1" applyAlignment="1">
      <alignment horizontal="center"/>
    </xf>
    <xf numFmtId="0" fontId="20" fillId="0" borderId="0" xfId="5" applyAlignment="1">
      <alignment horizontal="center"/>
    </xf>
  </cellXfs>
  <cellStyles count="15">
    <cellStyle name="Millares" xfId="2" builtinId="3"/>
    <cellStyle name="Millares 2" xfId="10"/>
    <cellStyle name="Millares 3" xfId="9"/>
    <cellStyle name="Millares 4" xfId="8"/>
    <cellStyle name="Millares 5" xfId="14"/>
    <cellStyle name="Normal" xfId="0" builtinId="0"/>
    <cellStyle name="Normal 2" xfId="1"/>
    <cellStyle name="Normal 3" xfId="3"/>
    <cellStyle name="Normal 3 2" xfId="11"/>
    <cellStyle name="Normal 4" xfId="4"/>
    <cellStyle name="Normal 4 2" xfId="6"/>
    <cellStyle name="Normal 5" xfId="5"/>
    <cellStyle name="Normal 5 2" xfId="12"/>
    <cellStyle name="Normal 6" xfId="7"/>
    <cellStyle name="Normal 7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Documento_de_Microsoft_Office_Word_97-20031.doc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Documento_de_Microsoft_Office_Word_97-20032.doc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Documento_de_Microsoft_Office_Word_97-20033.doc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U251"/>
  <sheetViews>
    <sheetView zoomScaleNormal="100" workbookViewId="0">
      <pane xSplit="2" ySplit="6" topLeftCell="L31" activePane="bottomRight" state="frozen"/>
      <selection sqref="A1:T2"/>
      <selection pane="topRight" sqref="A1:T2"/>
      <selection pane="bottomLeft" sqref="A1:T2"/>
      <selection pane="bottomRight" activeCell="N48" sqref="N48"/>
    </sheetView>
  </sheetViews>
  <sheetFormatPr baseColWidth="10" defaultRowHeight="15.75"/>
  <cols>
    <col min="1" max="1" width="8.7109375" style="54" customWidth="1"/>
    <col min="2" max="2" width="55" style="56" customWidth="1"/>
    <col min="3" max="3" width="16.42578125" style="54" customWidth="1"/>
    <col min="4" max="4" width="16.7109375" style="59" customWidth="1"/>
    <col min="5" max="5" width="31.5703125" style="54" customWidth="1"/>
    <col min="6" max="6" width="41" style="54" bestFit="1" customWidth="1"/>
    <col min="7" max="7" width="12.5703125" style="59" customWidth="1"/>
    <col min="8" max="9" width="6.28515625" style="58" hidden="1" customWidth="1"/>
    <col min="10" max="10" width="6.28515625" style="57" hidden="1" customWidth="1"/>
    <col min="11" max="11" width="12.140625" style="54" customWidth="1"/>
    <col min="12" max="12" width="11.85546875" style="54" bestFit="1" customWidth="1"/>
    <col min="13" max="13" width="11.42578125" style="54"/>
    <col min="14" max="14" width="14.7109375" style="38" customWidth="1"/>
    <col min="15" max="15" width="31.140625" style="38" hidden="1" customWidth="1"/>
    <col min="16" max="16" width="10.7109375" style="54" customWidth="1"/>
    <col min="17" max="17" width="13.42578125" style="38" bestFit="1" customWidth="1"/>
    <col min="18" max="18" width="13.85546875" style="38" customWidth="1"/>
    <col min="19" max="19" width="13.7109375" style="38" customWidth="1"/>
    <col min="20" max="20" width="11.42578125" style="54"/>
    <col min="21" max="21" width="10.42578125" style="110" customWidth="1"/>
    <col min="22" max="16384" width="11.42578125" style="54"/>
  </cols>
  <sheetData>
    <row r="1" spans="1:21" s="89" customFormat="1" ht="20.25">
      <c r="A1" s="513" t="s">
        <v>0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13"/>
      <c r="S1" s="513"/>
      <c r="U1" s="181"/>
    </row>
    <row r="2" spans="1:21" s="88" customFormat="1" ht="20.25">
      <c r="A2" s="514" t="s">
        <v>177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4"/>
      <c r="U2" s="181"/>
    </row>
    <row r="3" spans="1:21" s="86" customFormat="1" ht="20.25">
      <c r="A3" s="513" t="s">
        <v>2830</v>
      </c>
      <c r="B3" s="513"/>
      <c r="C3" s="513"/>
      <c r="D3" s="513"/>
      <c r="E3" s="513"/>
      <c r="F3" s="513"/>
      <c r="G3" s="513"/>
      <c r="H3" s="513"/>
      <c r="I3" s="513"/>
      <c r="J3" s="513"/>
      <c r="K3" s="513"/>
      <c r="L3" s="513"/>
      <c r="M3" s="513"/>
      <c r="N3" s="513"/>
      <c r="O3" s="513"/>
      <c r="P3" s="513"/>
      <c r="Q3" s="513"/>
      <c r="R3" s="513"/>
      <c r="S3" s="513"/>
      <c r="U3" s="181"/>
    </row>
    <row r="4" spans="1:21" s="86" customFormat="1" ht="12.75">
      <c r="A4" s="292"/>
      <c r="B4" s="292"/>
      <c r="C4" s="292"/>
      <c r="D4" s="87"/>
      <c r="E4" s="292"/>
      <c r="F4" s="292"/>
      <c r="G4" s="87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U4" s="180">
        <v>41759</v>
      </c>
    </row>
    <row r="5" spans="1:21">
      <c r="H5" s="515" t="s">
        <v>2</v>
      </c>
      <c r="I5" s="516"/>
      <c r="J5" s="517"/>
      <c r="Q5" s="518" t="s">
        <v>3</v>
      </c>
      <c r="R5" s="519"/>
    </row>
    <row r="6" spans="1:21" s="46" customFormat="1" ht="31.5">
      <c r="A6" s="51" t="s">
        <v>4</v>
      </c>
      <c r="B6" s="51" t="s">
        <v>5</v>
      </c>
      <c r="C6" s="51" t="s">
        <v>6</v>
      </c>
      <c r="D6" s="85" t="s">
        <v>7</v>
      </c>
      <c r="E6" s="51" t="s">
        <v>8</v>
      </c>
      <c r="F6" s="51" t="s">
        <v>9</v>
      </c>
      <c r="G6" s="85" t="s">
        <v>10</v>
      </c>
      <c r="H6" s="53" t="s">
        <v>11</v>
      </c>
      <c r="I6" s="53" t="s">
        <v>12</v>
      </c>
      <c r="J6" s="52" t="s">
        <v>13</v>
      </c>
      <c r="K6" s="51" t="s">
        <v>14</v>
      </c>
      <c r="L6" s="51" t="s">
        <v>15</v>
      </c>
      <c r="M6" s="51" t="s">
        <v>16</v>
      </c>
      <c r="N6" s="34" t="s">
        <v>176</v>
      </c>
      <c r="O6" s="34" t="s">
        <v>175</v>
      </c>
      <c r="P6" s="50" t="s">
        <v>20</v>
      </c>
      <c r="Q6" s="34" t="s">
        <v>21</v>
      </c>
      <c r="R6" s="33" t="s">
        <v>2524</v>
      </c>
      <c r="S6" s="33" t="s">
        <v>23</v>
      </c>
      <c r="U6" s="173" t="s">
        <v>867</v>
      </c>
    </row>
    <row r="7" spans="1:21">
      <c r="A7" s="54" t="s">
        <v>174</v>
      </c>
      <c r="B7" s="56" t="s">
        <v>173</v>
      </c>
      <c r="C7" s="54" t="s">
        <v>167</v>
      </c>
      <c r="E7" s="54" t="s">
        <v>166</v>
      </c>
      <c r="F7" s="54" t="s">
        <v>60</v>
      </c>
      <c r="G7" s="220" t="str">
        <f t="shared" ref="G7:G17" si="0">CONCATENATE(H7,"/",I7,"/",J7,)</f>
        <v>31/12/2003</v>
      </c>
      <c r="H7" s="58">
        <v>31</v>
      </c>
      <c r="I7" s="58">
        <v>12</v>
      </c>
      <c r="J7" s="57">
        <v>2003</v>
      </c>
      <c r="L7" s="59"/>
      <c r="M7" s="54" t="s">
        <v>70</v>
      </c>
      <c r="N7" s="38">
        <v>1</v>
      </c>
      <c r="O7" s="38" t="s">
        <v>161</v>
      </c>
      <c r="P7" s="54">
        <v>10</v>
      </c>
      <c r="Q7" s="316">
        <f t="shared" ref="Q7:Q30" si="1">(((N7)-1)/10)/12</f>
        <v>0</v>
      </c>
      <c r="R7" s="38">
        <f t="shared" ref="R7:R30" si="2">Q7*U7</f>
        <v>0</v>
      </c>
      <c r="S7" s="38">
        <f>N7-R7</f>
        <v>1</v>
      </c>
      <c r="U7" s="121">
        <f t="shared" ref="U7:U30" si="3">IF((DATEDIF(G7,U$4,"m"))&gt;=120,120,(DATEDIF(G7,U$4,"m")))</f>
        <v>120</v>
      </c>
    </row>
    <row r="8" spans="1:21">
      <c r="A8" s="54" t="s">
        <v>172</v>
      </c>
      <c r="B8" s="56" t="s">
        <v>171</v>
      </c>
      <c r="C8" s="54" t="s">
        <v>167</v>
      </c>
      <c r="E8" s="54" t="s">
        <v>170</v>
      </c>
      <c r="F8" s="54" t="s">
        <v>60</v>
      </c>
      <c r="G8" s="220" t="str">
        <f t="shared" si="0"/>
        <v>31/12/2003</v>
      </c>
      <c r="H8" s="58">
        <v>31</v>
      </c>
      <c r="I8" s="58">
        <v>12</v>
      </c>
      <c r="J8" s="57">
        <v>2003</v>
      </c>
      <c r="L8" s="59"/>
      <c r="M8" s="54" t="s">
        <v>70</v>
      </c>
      <c r="N8" s="38">
        <v>125000</v>
      </c>
      <c r="O8" s="38" t="s">
        <v>161</v>
      </c>
      <c r="P8" s="54">
        <v>10</v>
      </c>
      <c r="Q8" s="316">
        <f t="shared" si="1"/>
        <v>1041.6583333333333</v>
      </c>
      <c r="R8" s="38">
        <f t="shared" si="2"/>
        <v>124999</v>
      </c>
      <c r="S8" s="38">
        <f>N8-R8</f>
        <v>1</v>
      </c>
      <c r="U8" s="121">
        <f t="shared" si="3"/>
        <v>120</v>
      </c>
    </row>
    <row r="9" spans="1:21">
      <c r="A9" s="54" t="s">
        <v>169</v>
      </c>
      <c r="B9" s="56" t="s">
        <v>168</v>
      </c>
      <c r="C9" s="54" t="s">
        <v>167</v>
      </c>
      <c r="E9" s="54" t="s">
        <v>166</v>
      </c>
      <c r="F9" s="54" t="s">
        <v>60</v>
      </c>
      <c r="G9" s="220" t="str">
        <f t="shared" si="0"/>
        <v>31/12/2003</v>
      </c>
      <c r="H9" s="58">
        <v>31</v>
      </c>
      <c r="I9" s="58">
        <v>12</v>
      </c>
      <c r="J9" s="57">
        <v>2003</v>
      </c>
      <c r="L9" s="59"/>
      <c r="M9" s="54" t="s">
        <v>70</v>
      </c>
      <c r="N9" s="38">
        <v>1</v>
      </c>
      <c r="O9" s="38" t="s">
        <v>161</v>
      </c>
      <c r="P9" s="54">
        <v>10</v>
      </c>
      <c r="Q9" s="316">
        <f t="shared" si="1"/>
        <v>0</v>
      </c>
      <c r="R9" s="38">
        <f t="shared" si="2"/>
        <v>0</v>
      </c>
      <c r="S9" s="38">
        <f>N9-R9</f>
        <v>1</v>
      </c>
      <c r="U9" s="121">
        <f t="shared" si="3"/>
        <v>120</v>
      </c>
    </row>
    <row r="10" spans="1:21">
      <c r="A10" s="54" t="s">
        <v>165</v>
      </c>
      <c r="B10" s="56" t="s">
        <v>164</v>
      </c>
      <c r="C10" s="54" t="s">
        <v>163</v>
      </c>
      <c r="E10" s="54" t="s">
        <v>162</v>
      </c>
      <c r="F10" s="54" t="s">
        <v>60</v>
      </c>
      <c r="G10" s="220" t="str">
        <f t="shared" si="0"/>
        <v>31/12/2003</v>
      </c>
      <c r="H10" s="58">
        <v>31</v>
      </c>
      <c r="I10" s="58">
        <v>12</v>
      </c>
      <c r="J10" s="57">
        <v>2003</v>
      </c>
      <c r="L10" s="59"/>
      <c r="M10" s="54" t="s">
        <v>70</v>
      </c>
      <c r="N10" s="38">
        <v>1</v>
      </c>
      <c r="O10" s="38" t="s">
        <v>161</v>
      </c>
      <c r="P10" s="54">
        <v>10</v>
      </c>
      <c r="Q10" s="316">
        <f t="shared" si="1"/>
        <v>0</v>
      </c>
      <c r="R10" s="38">
        <f t="shared" si="2"/>
        <v>0</v>
      </c>
      <c r="S10" s="38">
        <f>N10-R10</f>
        <v>1</v>
      </c>
      <c r="U10" s="121">
        <f t="shared" si="3"/>
        <v>120</v>
      </c>
    </row>
    <row r="11" spans="1:21">
      <c r="A11" s="54" t="s">
        <v>160</v>
      </c>
      <c r="B11" s="56" t="s">
        <v>159</v>
      </c>
      <c r="C11" s="54" t="s">
        <v>94</v>
      </c>
      <c r="F11" s="54" t="s">
        <v>93</v>
      </c>
      <c r="G11" s="220" t="str">
        <f t="shared" si="0"/>
        <v>8/12/2007</v>
      </c>
      <c r="H11" s="58">
        <v>8</v>
      </c>
      <c r="I11" s="58">
        <v>12</v>
      </c>
      <c r="J11" s="57">
        <v>2007</v>
      </c>
      <c r="K11" s="54" t="s">
        <v>30</v>
      </c>
      <c r="L11" s="59">
        <v>58559</v>
      </c>
      <c r="M11" s="54" t="s">
        <v>70</v>
      </c>
      <c r="N11" s="38">
        <v>46500</v>
      </c>
      <c r="P11" s="54">
        <v>10</v>
      </c>
      <c r="Q11" s="316">
        <f t="shared" si="1"/>
        <v>387.49166666666662</v>
      </c>
      <c r="R11" s="38">
        <f t="shared" si="2"/>
        <v>29449.366666666661</v>
      </c>
      <c r="S11" s="38">
        <f t="shared" ref="S11:S14" si="4">N11-R11</f>
        <v>17050.633333333339</v>
      </c>
      <c r="U11" s="121">
        <f t="shared" si="3"/>
        <v>76</v>
      </c>
    </row>
    <row r="12" spans="1:21">
      <c r="A12" s="54" t="s">
        <v>158</v>
      </c>
      <c r="B12" s="56" t="s">
        <v>95</v>
      </c>
      <c r="C12" s="54" t="s">
        <v>94</v>
      </c>
      <c r="F12" s="54" t="s">
        <v>93</v>
      </c>
      <c r="G12" s="220" t="str">
        <f t="shared" si="0"/>
        <v>8/12/2007</v>
      </c>
      <c r="H12" s="58">
        <v>8</v>
      </c>
      <c r="I12" s="58">
        <v>12</v>
      </c>
      <c r="J12" s="57">
        <v>2007</v>
      </c>
      <c r="K12" s="54" t="s">
        <v>30</v>
      </c>
      <c r="L12" s="59">
        <v>58559</v>
      </c>
      <c r="M12" s="54" t="s">
        <v>70</v>
      </c>
      <c r="N12" s="38">
        <v>17800</v>
      </c>
      <c r="P12" s="54">
        <v>10</v>
      </c>
      <c r="Q12" s="316">
        <f t="shared" si="1"/>
        <v>148.32500000000002</v>
      </c>
      <c r="R12" s="38">
        <f t="shared" si="2"/>
        <v>11272.7</v>
      </c>
      <c r="S12" s="38">
        <f t="shared" si="4"/>
        <v>6527.2999999999993</v>
      </c>
      <c r="U12" s="121">
        <f t="shared" si="3"/>
        <v>76</v>
      </c>
    </row>
    <row r="13" spans="1:21">
      <c r="A13" s="54" t="s">
        <v>157</v>
      </c>
      <c r="B13" s="56" t="s">
        <v>95</v>
      </c>
      <c r="C13" s="54" t="s">
        <v>94</v>
      </c>
      <c r="F13" s="54" t="s">
        <v>93</v>
      </c>
      <c r="G13" s="220" t="str">
        <f t="shared" si="0"/>
        <v>8/12/2007</v>
      </c>
      <c r="H13" s="58">
        <v>8</v>
      </c>
      <c r="I13" s="58">
        <v>12</v>
      </c>
      <c r="J13" s="57">
        <v>2007</v>
      </c>
      <c r="K13" s="54" t="s">
        <v>30</v>
      </c>
      <c r="L13" s="59">
        <v>58559</v>
      </c>
      <c r="M13" s="54" t="s">
        <v>92</v>
      </c>
      <c r="N13" s="38">
        <v>17800</v>
      </c>
      <c r="P13" s="54">
        <v>10</v>
      </c>
      <c r="Q13" s="316">
        <f t="shared" si="1"/>
        <v>148.32500000000002</v>
      </c>
      <c r="R13" s="38">
        <f t="shared" si="2"/>
        <v>11272.7</v>
      </c>
      <c r="S13" s="38">
        <f t="shared" si="4"/>
        <v>6527.2999999999993</v>
      </c>
      <c r="U13" s="121">
        <f t="shared" si="3"/>
        <v>76</v>
      </c>
    </row>
    <row r="14" spans="1:21">
      <c r="A14" s="54" t="s">
        <v>156</v>
      </c>
      <c r="B14" s="56" t="s">
        <v>155</v>
      </c>
      <c r="C14" s="54" t="s">
        <v>154</v>
      </c>
      <c r="D14" s="59" t="s">
        <v>153</v>
      </c>
      <c r="E14" s="54" t="s">
        <v>152</v>
      </c>
      <c r="F14" s="54" t="s">
        <v>60</v>
      </c>
      <c r="G14" s="220" t="str">
        <f t="shared" si="0"/>
        <v>31/12/2003</v>
      </c>
      <c r="H14" s="58">
        <v>31</v>
      </c>
      <c r="I14" s="58">
        <v>12</v>
      </c>
      <c r="J14" s="57">
        <v>2003</v>
      </c>
      <c r="L14" s="59"/>
      <c r="M14" s="54" t="s">
        <v>70</v>
      </c>
      <c r="N14" s="38">
        <v>225000</v>
      </c>
      <c r="O14" s="38" t="s">
        <v>142</v>
      </c>
      <c r="P14" s="54">
        <v>10</v>
      </c>
      <c r="Q14" s="316">
        <f t="shared" si="1"/>
        <v>1874.9916666666668</v>
      </c>
      <c r="R14" s="38">
        <f t="shared" si="2"/>
        <v>224999</v>
      </c>
      <c r="S14" s="38">
        <f t="shared" si="4"/>
        <v>1</v>
      </c>
      <c r="U14" s="121">
        <f t="shared" si="3"/>
        <v>120</v>
      </c>
    </row>
    <row r="15" spans="1:21">
      <c r="A15" s="54" t="s">
        <v>151</v>
      </c>
      <c r="B15" s="56" t="s">
        <v>150</v>
      </c>
      <c r="D15" s="59">
        <v>2823008110</v>
      </c>
      <c r="F15" s="54" t="s">
        <v>60</v>
      </c>
      <c r="G15" s="220" t="str">
        <f t="shared" si="0"/>
        <v>31/12/2003</v>
      </c>
      <c r="H15" s="58">
        <v>31</v>
      </c>
      <c r="I15" s="58">
        <v>12</v>
      </c>
      <c r="J15" s="57">
        <v>2003</v>
      </c>
      <c r="L15" s="59"/>
      <c r="M15" s="54" t="s">
        <v>70</v>
      </c>
      <c r="N15" s="38">
        <v>1</v>
      </c>
      <c r="O15" s="38" t="s">
        <v>142</v>
      </c>
      <c r="P15" s="54">
        <v>10</v>
      </c>
      <c r="Q15" s="316">
        <f t="shared" si="1"/>
        <v>0</v>
      </c>
      <c r="R15" s="38">
        <f t="shared" si="2"/>
        <v>0</v>
      </c>
      <c r="S15" s="38">
        <f>N15-R15</f>
        <v>1</v>
      </c>
      <c r="U15" s="121">
        <f t="shared" si="3"/>
        <v>120</v>
      </c>
    </row>
    <row r="16" spans="1:21">
      <c r="A16" s="54" t="s">
        <v>149</v>
      </c>
      <c r="B16" s="56" t="s">
        <v>145</v>
      </c>
      <c r="C16" s="54" t="s">
        <v>148</v>
      </c>
      <c r="E16" s="54" t="s">
        <v>147</v>
      </c>
      <c r="F16" s="54" t="s">
        <v>60</v>
      </c>
      <c r="G16" s="220" t="str">
        <f t="shared" si="0"/>
        <v>31/12/2003</v>
      </c>
      <c r="H16" s="58">
        <v>31</v>
      </c>
      <c r="I16" s="58">
        <v>12</v>
      </c>
      <c r="J16" s="57">
        <v>2003</v>
      </c>
      <c r="L16" s="59"/>
      <c r="M16" s="54" t="s">
        <v>70</v>
      </c>
      <c r="N16" s="38">
        <v>12000</v>
      </c>
      <c r="O16" s="38" t="s">
        <v>142</v>
      </c>
      <c r="P16" s="54">
        <v>10</v>
      </c>
      <c r="Q16" s="316">
        <f t="shared" si="1"/>
        <v>99.991666666666674</v>
      </c>
      <c r="R16" s="38">
        <f t="shared" si="2"/>
        <v>11999</v>
      </c>
      <c r="S16" s="38">
        <f t="shared" ref="S16:S17" si="5">N16-R16</f>
        <v>1</v>
      </c>
      <c r="U16" s="121">
        <f t="shared" si="3"/>
        <v>120</v>
      </c>
    </row>
    <row r="17" spans="1:21">
      <c r="A17" s="54" t="s">
        <v>146</v>
      </c>
      <c r="B17" s="56" t="s">
        <v>145</v>
      </c>
      <c r="C17" s="54" t="s">
        <v>144</v>
      </c>
      <c r="E17" s="54" t="s">
        <v>143</v>
      </c>
      <c r="F17" s="54" t="s">
        <v>60</v>
      </c>
      <c r="G17" s="220" t="str">
        <f t="shared" si="0"/>
        <v>31/12/2003</v>
      </c>
      <c r="H17" s="58">
        <v>31</v>
      </c>
      <c r="I17" s="58">
        <v>12</v>
      </c>
      <c r="J17" s="57">
        <v>2003</v>
      </c>
      <c r="L17" s="59"/>
      <c r="M17" s="54" t="s">
        <v>70</v>
      </c>
      <c r="N17" s="38">
        <v>12000</v>
      </c>
      <c r="O17" s="38" t="s">
        <v>142</v>
      </c>
      <c r="P17" s="54">
        <v>10</v>
      </c>
      <c r="Q17" s="316">
        <f t="shared" si="1"/>
        <v>99.991666666666674</v>
      </c>
      <c r="R17" s="38">
        <f t="shared" si="2"/>
        <v>11999</v>
      </c>
      <c r="S17" s="38">
        <f t="shared" si="5"/>
        <v>1</v>
      </c>
      <c r="U17" s="121">
        <f t="shared" si="3"/>
        <v>120</v>
      </c>
    </row>
    <row r="18" spans="1:21">
      <c r="A18" s="54" t="s">
        <v>141</v>
      </c>
      <c r="B18" s="56" t="s">
        <v>140</v>
      </c>
      <c r="C18" s="54" t="s">
        <v>104</v>
      </c>
      <c r="D18" s="59" t="s">
        <v>139</v>
      </c>
      <c r="G18" s="220"/>
      <c r="L18" s="59"/>
      <c r="M18" s="54" t="s">
        <v>70</v>
      </c>
      <c r="N18" s="38">
        <v>1</v>
      </c>
      <c r="O18" s="38" t="s">
        <v>138</v>
      </c>
      <c r="P18" s="54">
        <v>10</v>
      </c>
      <c r="Q18" s="316">
        <f t="shared" si="1"/>
        <v>0</v>
      </c>
      <c r="R18" s="38">
        <f t="shared" si="2"/>
        <v>0</v>
      </c>
      <c r="S18" s="38">
        <f>N18-R18</f>
        <v>1</v>
      </c>
      <c r="U18" s="121">
        <f t="shared" si="3"/>
        <v>120</v>
      </c>
    </row>
    <row r="19" spans="1:21">
      <c r="A19" s="54" t="s">
        <v>137</v>
      </c>
      <c r="B19" s="56" t="s">
        <v>136</v>
      </c>
      <c r="C19" s="54" t="s">
        <v>130</v>
      </c>
      <c r="D19" s="59" t="s">
        <v>135</v>
      </c>
      <c r="E19" s="54" t="s">
        <v>134</v>
      </c>
      <c r="F19" s="54" t="s">
        <v>129</v>
      </c>
      <c r="G19" s="220" t="str">
        <f t="shared" ref="G19:G42" si="6">CONCATENATE(H19,"/",I19,"/",J19,)</f>
        <v>12/10/2006</v>
      </c>
      <c r="H19" s="58">
        <v>12</v>
      </c>
      <c r="I19" s="58">
        <v>10</v>
      </c>
      <c r="J19" s="57">
        <v>2006</v>
      </c>
      <c r="K19" s="54" t="s">
        <v>56</v>
      </c>
      <c r="L19" s="59">
        <v>8799</v>
      </c>
      <c r="M19" s="54" t="s">
        <v>70</v>
      </c>
      <c r="N19" s="38">
        <v>20000</v>
      </c>
      <c r="O19" s="84" t="s">
        <v>133</v>
      </c>
      <c r="P19" s="54">
        <v>10</v>
      </c>
      <c r="Q19" s="316">
        <f t="shared" si="1"/>
        <v>166.65833333333333</v>
      </c>
      <c r="R19" s="38">
        <f t="shared" si="2"/>
        <v>14999.25</v>
      </c>
      <c r="S19" s="38">
        <f t="shared" ref="S19:S22" si="7">N19-R19</f>
        <v>5000.75</v>
      </c>
      <c r="U19" s="121">
        <f t="shared" si="3"/>
        <v>90</v>
      </c>
    </row>
    <row r="20" spans="1:21">
      <c r="A20" s="54" t="s">
        <v>132</v>
      </c>
      <c r="B20" s="56" t="s">
        <v>131</v>
      </c>
      <c r="C20" s="54" t="s">
        <v>130</v>
      </c>
      <c r="F20" s="54" t="s">
        <v>129</v>
      </c>
      <c r="G20" s="220" t="str">
        <f t="shared" si="6"/>
        <v>12/10/2006</v>
      </c>
      <c r="H20" s="58">
        <v>12</v>
      </c>
      <c r="I20" s="58">
        <v>10</v>
      </c>
      <c r="J20" s="57">
        <v>2006</v>
      </c>
      <c r="K20" s="54" t="s">
        <v>56</v>
      </c>
      <c r="L20" s="59">
        <v>8799</v>
      </c>
      <c r="M20" s="54" t="s">
        <v>70</v>
      </c>
      <c r="N20" s="38">
        <v>15000</v>
      </c>
      <c r="O20" s="38" t="s">
        <v>128</v>
      </c>
      <c r="P20" s="54">
        <v>10</v>
      </c>
      <c r="Q20" s="316">
        <f t="shared" si="1"/>
        <v>124.99166666666667</v>
      </c>
      <c r="R20" s="38">
        <f t="shared" si="2"/>
        <v>11249.25</v>
      </c>
      <c r="S20" s="38">
        <f t="shared" si="7"/>
        <v>3750.75</v>
      </c>
      <c r="U20" s="121">
        <f t="shared" si="3"/>
        <v>90</v>
      </c>
    </row>
    <row r="21" spans="1:21">
      <c r="A21" s="54" t="s">
        <v>127</v>
      </c>
      <c r="B21" s="56" t="s">
        <v>126</v>
      </c>
      <c r="C21" s="54" t="s">
        <v>125</v>
      </c>
      <c r="D21" s="59" t="s">
        <v>124</v>
      </c>
      <c r="E21" s="54" t="s">
        <v>123</v>
      </c>
      <c r="F21" s="54" t="s">
        <v>102</v>
      </c>
      <c r="G21" s="220" t="str">
        <f t="shared" si="6"/>
        <v>10/6/2005</v>
      </c>
      <c r="H21" s="58">
        <v>10</v>
      </c>
      <c r="I21" s="58">
        <v>6</v>
      </c>
      <c r="J21" s="57">
        <v>2005</v>
      </c>
      <c r="K21" s="54" t="s">
        <v>56</v>
      </c>
      <c r="L21" s="59">
        <v>6500</v>
      </c>
      <c r="M21" s="54" t="s">
        <v>70</v>
      </c>
      <c r="N21" s="38">
        <v>65000</v>
      </c>
      <c r="O21" s="38" t="s">
        <v>122</v>
      </c>
      <c r="P21" s="54">
        <v>10</v>
      </c>
      <c r="Q21" s="316">
        <f t="shared" si="1"/>
        <v>541.6583333333333</v>
      </c>
      <c r="R21" s="38">
        <f t="shared" si="2"/>
        <v>57415.783333333333</v>
      </c>
      <c r="S21" s="38">
        <f t="shared" si="7"/>
        <v>7584.2166666666672</v>
      </c>
      <c r="U21" s="121">
        <f t="shared" si="3"/>
        <v>106</v>
      </c>
    </row>
    <row r="22" spans="1:21">
      <c r="A22" s="54" t="s">
        <v>121</v>
      </c>
      <c r="B22" s="56" t="s">
        <v>120</v>
      </c>
      <c r="C22" s="54" t="s">
        <v>119</v>
      </c>
      <c r="D22" s="59" t="s">
        <v>118</v>
      </c>
      <c r="E22" s="54" t="s">
        <v>117</v>
      </c>
      <c r="F22" s="54" t="s">
        <v>98</v>
      </c>
      <c r="G22" s="220" t="str">
        <f t="shared" si="6"/>
        <v>8/12/2003</v>
      </c>
      <c r="H22" s="58">
        <v>8</v>
      </c>
      <c r="I22" s="58">
        <v>12</v>
      </c>
      <c r="J22" s="57">
        <v>2003</v>
      </c>
      <c r="K22" s="54" t="s">
        <v>56</v>
      </c>
      <c r="L22" s="59">
        <v>2569</v>
      </c>
      <c r="M22" s="54" t="s">
        <v>70</v>
      </c>
      <c r="N22" s="38">
        <v>26258.400000000001</v>
      </c>
      <c r="O22" s="38" t="s">
        <v>112</v>
      </c>
      <c r="P22" s="54">
        <v>10</v>
      </c>
      <c r="Q22" s="316">
        <f t="shared" si="1"/>
        <v>218.8116666666667</v>
      </c>
      <c r="R22" s="38">
        <f t="shared" si="2"/>
        <v>26257.400000000005</v>
      </c>
      <c r="S22" s="38">
        <f t="shared" si="7"/>
        <v>0.99999999999636202</v>
      </c>
      <c r="U22" s="121">
        <f t="shared" si="3"/>
        <v>120</v>
      </c>
    </row>
    <row r="23" spans="1:21">
      <c r="A23" s="54" t="s">
        <v>116</v>
      </c>
      <c r="B23" s="56" t="s">
        <v>115</v>
      </c>
      <c r="C23" s="54" t="s">
        <v>104</v>
      </c>
      <c r="D23" s="59" t="s">
        <v>114</v>
      </c>
      <c r="E23" s="54" t="s">
        <v>113</v>
      </c>
      <c r="G23" s="220"/>
      <c r="L23" s="59"/>
      <c r="M23" s="54" t="s">
        <v>70</v>
      </c>
      <c r="N23" s="38">
        <v>1</v>
      </c>
      <c r="O23" s="38" t="s">
        <v>112</v>
      </c>
      <c r="P23" s="54">
        <v>10</v>
      </c>
      <c r="Q23" s="316">
        <f t="shared" si="1"/>
        <v>0</v>
      </c>
      <c r="R23" s="38">
        <f t="shared" si="2"/>
        <v>0</v>
      </c>
      <c r="S23" s="38">
        <f>N23-R23</f>
        <v>1</v>
      </c>
      <c r="U23" s="121">
        <f t="shared" si="3"/>
        <v>120</v>
      </c>
    </row>
    <row r="24" spans="1:21">
      <c r="A24" s="54" t="s">
        <v>111</v>
      </c>
      <c r="B24" s="56" t="s">
        <v>110</v>
      </c>
      <c r="C24" s="54" t="s">
        <v>104</v>
      </c>
      <c r="D24" s="59" t="s">
        <v>109</v>
      </c>
      <c r="F24" s="54" t="s">
        <v>102</v>
      </c>
      <c r="G24" s="220" t="str">
        <f t="shared" si="6"/>
        <v>20/9/2006</v>
      </c>
      <c r="H24" s="58">
        <v>20</v>
      </c>
      <c r="I24" s="58">
        <v>9</v>
      </c>
      <c r="J24" s="57">
        <v>2006</v>
      </c>
      <c r="K24" s="54" t="s">
        <v>30</v>
      </c>
      <c r="L24" s="59">
        <v>87</v>
      </c>
      <c r="M24" s="54" t="s">
        <v>70</v>
      </c>
      <c r="N24" s="38">
        <v>76999.990000000005</v>
      </c>
      <c r="O24" s="38" t="s">
        <v>108</v>
      </c>
      <c r="P24" s="54">
        <v>10</v>
      </c>
      <c r="Q24" s="316">
        <f t="shared" si="1"/>
        <v>641.65825000000007</v>
      </c>
      <c r="R24" s="38">
        <f t="shared" si="2"/>
        <v>58390.900750000008</v>
      </c>
      <c r="S24" s="38">
        <f t="shared" ref="S24:S29" si="8">N24-R24</f>
        <v>18609.089249999997</v>
      </c>
      <c r="U24" s="121">
        <f t="shared" si="3"/>
        <v>91</v>
      </c>
    </row>
    <row r="25" spans="1:21" s="60" customFormat="1">
      <c r="A25" s="54" t="s">
        <v>107</v>
      </c>
      <c r="B25" s="65" t="s">
        <v>105</v>
      </c>
      <c r="C25" s="60" t="s">
        <v>104</v>
      </c>
      <c r="D25" s="64" t="s">
        <v>103</v>
      </c>
      <c r="F25" s="60" t="s">
        <v>102</v>
      </c>
      <c r="G25" s="220" t="str">
        <f t="shared" si="6"/>
        <v>6/10/2006</v>
      </c>
      <c r="H25" s="63">
        <v>6</v>
      </c>
      <c r="I25" s="63">
        <v>10</v>
      </c>
      <c r="J25" s="62">
        <v>2006</v>
      </c>
      <c r="K25" s="60" t="s">
        <v>30</v>
      </c>
      <c r="L25" s="64">
        <v>97</v>
      </c>
      <c r="M25" s="60" t="s">
        <v>70</v>
      </c>
      <c r="N25" s="61">
        <v>60500</v>
      </c>
      <c r="O25" s="61"/>
      <c r="P25" s="60">
        <v>10</v>
      </c>
      <c r="Q25" s="316">
        <f t="shared" si="1"/>
        <v>504.1583333333333</v>
      </c>
      <c r="R25" s="38">
        <f t="shared" si="2"/>
        <v>45374.25</v>
      </c>
      <c r="S25" s="38">
        <f t="shared" si="8"/>
        <v>15125.75</v>
      </c>
      <c r="U25" s="121">
        <f t="shared" si="3"/>
        <v>90</v>
      </c>
    </row>
    <row r="26" spans="1:21" s="60" customFormat="1">
      <c r="A26" s="54" t="s">
        <v>106</v>
      </c>
      <c r="B26" s="65" t="s">
        <v>105</v>
      </c>
      <c r="C26" s="60" t="s">
        <v>104</v>
      </c>
      <c r="D26" s="64" t="s">
        <v>103</v>
      </c>
      <c r="F26" s="60" t="s">
        <v>102</v>
      </c>
      <c r="G26" s="220" t="str">
        <f t="shared" si="6"/>
        <v>10/10/2006</v>
      </c>
      <c r="H26" s="63">
        <v>10</v>
      </c>
      <c r="I26" s="63">
        <v>10</v>
      </c>
      <c r="J26" s="62">
        <v>2006</v>
      </c>
      <c r="K26" s="60" t="s">
        <v>30</v>
      </c>
      <c r="L26" s="64">
        <v>98</v>
      </c>
      <c r="M26" s="60" t="s">
        <v>70</v>
      </c>
      <c r="N26" s="61">
        <v>60500</v>
      </c>
      <c r="O26" s="61"/>
      <c r="P26" s="60">
        <v>10</v>
      </c>
      <c r="Q26" s="316">
        <f t="shared" si="1"/>
        <v>504.1583333333333</v>
      </c>
      <c r="R26" s="38">
        <f t="shared" si="2"/>
        <v>45374.25</v>
      </c>
      <c r="S26" s="38">
        <f t="shared" si="8"/>
        <v>15125.75</v>
      </c>
      <c r="U26" s="121">
        <f t="shared" si="3"/>
        <v>90</v>
      </c>
    </row>
    <row r="27" spans="1:21" s="72" customFormat="1">
      <c r="A27" s="54" t="s">
        <v>101</v>
      </c>
      <c r="B27" s="83" t="s">
        <v>100</v>
      </c>
      <c r="C27" s="72" t="s">
        <v>99</v>
      </c>
      <c r="D27" s="77"/>
      <c r="F27" s="72" t="s">
        <v>98</v>
      </c>
      <c r="G27" s="220" t="str">
        <f t="shared" si="6"/>
        <v>8/12/2003</v>
      </c>
      <c r="H27" s="82">
        <v>8</v>
      </c>
      <c r="I27" s="82">
        <v>12</v>
      </c>
      <c r="J27" s="81">
        <v>2003</v>
      </c>
      <c r="K27" s="72" t="s">
        <v>56</v>
      </c>
      <c r="L27" s="77">
        <v>2569</v>
      </c>
      <c r="M27" s="72" t="s">
        <v>70</v>
      </c>
      <c r="N27" s="80">
        <v>98745</v>
      </c>
      <c r="O27" s="80"/>
      <c r="P27" s="72">
        <v>10</v>
      </c>
      <c r="Q27" s="316">
        <f t="shared" si="1"/>
        <v>822.86666666666667</v>
      </c>
      <c r="R27" s="38">
        <f t="shared" si="2"/>
        <v>98744</v>
      </c>
      <c r="S27" s="38">
        <f t="shared" si="8"/>
        <v>1</v>
      </c>
      <c r="U27" s="121">
        <f t="shared" si="3"/>
        <v>120</v>
      </c>
    </row>
    <row r="28" spans="1:21" s="60" customFormat="1">
      <c r="A28" s="54" t="s">
        <v>97</v>
      </c>
      <c r="B28" s="65" t="s">
        <v>95</v>
      </c>
      <c r="C28" s="60" t="s">
        <v>94</v>
      </c>
      <c r="D28" s="64"/>
      <c r="F28" s="60" t="s">
        <v>93</v>
      </c>
      <c r="G28" s="220" t="str">
        <f t="shared" si="6"/>
        <v>8/12/2007</v>
      </c>
      <c r="H28" s="63">
        <v>8</v>
      </c>
      <c r="I28" s="63">
        <v>12</v>
      </c>
      <c r="J28" s="62">
        <v>2007</v>
      </c>
      <c r="K28" s="60" t="s">
        <v>30</v>
      </c>
      <c r="L28" s="64">
        <v>58559</v>
      </c>
      <c r="M28" s="60" t="s">
        <v>92</v>
      </c>
      <c r="N28" s="61">
        <v>17800</v>
      </c>
      <c r="O28" s="61"/>
      <c r="P28" s="60">
        <v>10</v>
      </c>
      <c r="Q28" s="316">
        <f t="shared" si="1"/>
        <v>148.32500000000002</v>
      </c>
      <c r="R28" s="38">
        <f t="shared" si="2"/>
        <v>11272.7</v>
      </c>
      <c r="S28" s="38">
        <f t="shared" si="8"/>
        <v>6527.2999999999993</v>
      </c>
      <c r="U28" s="121">
        <f t="shared" si="3"/>
        <v>76</v>
      </c>
    </row>
    <row r="29" spans="1:21" s="60" customFormat="1">
      <c r="A29" s="54" t="s">
        <v>96</v>
      </c>
      <c r="B29" s="65" t="s">
        <v>95</v>
      </c>
      <c r="C29" s="60" t="s">
        <v>94</v>
      </c>
      <c r="D29" s="64"/>
      <c r="F29" s="60" t="s">
        <v>93</v>
      </c>
      <c r="G29" s="220" t="str">
        <f t="shared" si="6"/>
        <v>8/12/2007</v>
      </c>
      <c r="H29" s="63">
        <v>8</v>
      </c>
      <c r="I29" s="63">
        <v>12</v>
      </c>
      <c r="J29" s="62">
        <v>2007</v>
      </c>
      <c r="K29" s="60" t="s">
        <v>30</v>
      </c>
      <c r="L29" s="64">
        <v>58559</v>
      </c>
      <c r="M29" s="60" t="s">
        <v>92</v>
      </c>
      <c r="N29" s="61">
        <v>17800</v>
      </c>
      <c r="O29" s="61"/>
      <c r="P29" s="60">
        <v>10</v>
      </c>
      <c r="Q29" s="316">
        <f t="shared" si="1"/>
        <v>148.32500000000002</v>
      </c>
      <c r="R29" s="38">
        <f>Q29*U29</f>
        <v>11272.7</v>
      </c>
      <c r="S29" s="38">
        <f t="shared" si="8"/>
        <v>6527.2999999999993</v>
      </c>
      <c r="U29" s="121">
        <f t="shared" si="3"/>
        <v>76</v>
      </c>
    </row>
    <row r="30" spans="1:21" s="60" customFormat="1">
      <c r="A30" s="54" t="s">
        <v>91</v>
      </c>
      <c r="B30" s="65" t="s">
        <v>90</v>
      </c>
      <c r="D30" s="64"/>
      <c r="F30" s="60" t="s">
        <v>89</v>
      </c>
      <c r="G30" s="220" t="str">
        <f t="shared" si="6"/>
        <v>21/10/2008</v>
      </c>
      <c r="H30" s="63">
        <v>21</v>
      </c>
      <c r="I30" s="63">
        <v>10</v>
      </c>
      <c r="J30" s="62">
        <v>2008</v>
      </c>
      <c r="L30" s="64"/>
      <c r="N30" s="61">
        <v>2664.75</v>
      </c>
      <c r="O30" s="79" t="s">
        <v>88</v>
      </c>
      <c r="P30" s="60">
        <v>10</v>
      </c>
      <c r="Q30" s="316">
        <f t="shared" si="1"/>
        <v>22.197916666666668</v>
      </c>
      <c r="R30" s="38">
        <f t="shared" si="2"/>
        <v>1465.0625</v>
      </c>
      <c r="S30" s="38">
        <f>N30-R30</f>
        <v>1199.6875</v>
      </c>
      <c r="U30" s="121">
        <f t="shared" si="3"/>
        <v>66</v>
      </c>
    </row>
    <row r="31" spans="1:21" s="67" customFormat="1">
      <c r="A31" s="67" t="s">
        <v>87</v>
      </c>
      <c r="B31" s="69"/>
      <c r="D31" s="76"/>
      <c r="G31" s="220"/>
      <c r="H31" s="75"/>
      <c r="I31" s="75"/>
      <c r="J31" s="74"/>
      <c r="L31" s="76"/>
      <c r="N31" s="68">
        <f>SUM(N7:N30)</f>
        <v>917374.14</v>
      </c>
      <c r="O31" s="68"/>
      <c r="P31" s="78"/>
      <c r="Q31" s="68">
        <f>SUM(Q7:Q30)</f>
        <v>7644.5844999999999</v>
      </c>
      <c r="R31" s="68">
        <f>SUM(R7:R30)</f>
        <v>807806.31325000001</v>
      </c>
      <c r="S31" s="68">
        <f>SUM(S7:S30)</f>
        <v>109567.82675000001</v>
      </c>
      <c r="U31" s="121"/>
    </row>
    <row r="32" spans="1:21" s="60" customFormat="1">
      <c r="B32" s="65"/>
      <c r="D32" s="64"/>
      <c r="G32" s="220"/>
      <c r="H32" s="63"/>
      <c r="I32" s="63"/>
      <c r="J32" s="62"/>
      <c r="L32" s="64"/>
      <c r="N32" s="61"/>
      <c r="O32" s="61"/>
      <c r="Q32" s="61"/>
      <c r="R32" s="61"/>
      <c r="S32" s="61"/>
      <c r="U32" s="121"/>
    </row>
    <row r="33" spans="1:21" s="60" customFormat="1">
      <c r="A33" s="72" t="s">
        <v>86</v>
      </c>
      <c r="B33" s="72" t="s">
        <v>82</v>
      </c>
      <c r="C33" s="72" t="s">
        <v>81</v>
      </c>
      <c r="D33" s="72"/>
      <c r="E33" s="72"/>
      <c r="F33" s="72" t="s">
        <v>80</v>
      </c>
      <c r="G33" s="220" t="str">
        <f t="shared" si="6"/>
        <v>2/4/2009</v>
      </c>
      <c r="H33" s="72">
        <v>2</v>
      </c>
      <c r="I33" s="72">
        <v>4</v>
      </c>
      <c r="J33" s="72">
        <v>2009</v>
      </c>
      <c r="K33" s="317" t="s">
        <v>54</v>
      </c>
      <c r="L33" s="77">
        <v>15583</v>
      </c>
      <c r="M33" s="318" t="s">
        <v>70</v>
      </c>
      <c r="N33" s="318">
        <v>42244.77</v>
      </c>
      <c r="O33" s="319" t="s">
        <v>85</v>
      </c>
      <c r="P33" s="60">
        <v>10</v>
      </c>
      <c r="Q33" s="316">
        <f t="shared" ref="Q33:Q35" si="9">(((N33)-1)/10)/12</f>
        <v>352.03141666666664</v>
      </c>
      <c r="R33" s="38">
        <f>Q33*U33</f>
        <v>21121.884999999998</v>
      </c>
      <c r="S33" s="38">
        <f t="shared" ref="S33:S35" si="10">N33-R33</f>
        <v>21122.884999999998</v>
      </c>
      <c r="U33" s="121">
        <f>IF((DATEDIF(G33,U$4,"m"))&gt;=120,120,(DATEDIF(G33,U$4,"m")))</f>
        <v>60</v>
      </c>
    </row>
    <row r="34" spans="1:21" s="60" customFormat="1">
      <c r="A34" s="60" t="s">
        <v>84</v>
      </c>
      <c r="B34" s="72" t="s">
        <v>82</v>
      </c>
      <c r="C34" s="72" t="s">
        <v>81</v>
      </c>
      <c r="D34" s="72"/>
      <c r="E34" s="72"/>
      <c r="F34" s="72" t="s">
        <v>80</v>
      </c>
      <c r="G34" s="220" t="str">
        <f t="shared" si="6"/>
        <v>2/4/2009</v>
      </c>
      <c r="H34" s="72">
        <v>2</v>
      </c>
      <c r="I34" s="72">
        <v>4</v>
      </c>
      <c r="J34" s="72">
        <v>2009</v>
      </c>
      <c r="K34" s="317" t="s">
        <v>54</v>
      </c>
      <c r="L34" s="77">
        <v>15583</v>
      </c>
      <c r="M34" s="318" t="s">
        <v>70</v>
      </c>
      <c r="N34" s="318">
        <v>42244.77</v>
      </c>
      <c r="O34" s="318"/>
      <c r="P34" s="60">
        <v>10</v>
      </c>
      <c r="Q34" s="316">
        <f t="shared" si="9"/>
        <v>352.03141666666664</v>
      </c>
      <c r="R34" s="38">
        <f>Q34*U34</f>
        <v>21121.884999999998</v>
      </c>
      <c r="S34" s="38">
        <f t="shared" si="10"/>
        <v>21122.884999999998</v>
      </c>
      <c r="U34" s="121">
        <f>IF((DATEDIF(G34,U$4,"m"))&gt;=120,120,(DATEDIF(G34,U$4,"m")))</f>
        <v>60</v>
      </c>
    </row>
    <row r="35" spans="1:21" s="60" customFormat="1">
      <c r="A35" s="60" t="s">
        <v>83</v>
      </c>
      <c r="B35" s="72" t="s">
        <v>82</v>
      </c>
      <c r="C35" s="72" t="s">
        <v>81</v>
      </c>
      <c r="D35" s="72"/>
      <c r="E35" s="72"/>
      <c r="F35" s="72" t="s">
        <v>80</v>
      </c>
      <c r="G35" s="220" t="str">
        <f t="shared" si="6"/>
        <v>2/4/2009</v>
      </c>
      <c r="H35" s="72">
        <v>2</v>
      </c>
      <c r="I35" s="72">
        <v>4</v>
      </c>
      <c r="J35" s="72">
        <v>2009</v>
      </c>
      <c r="K35" s="317" t="s">
        <v>54</v>
      </c>
      <c r="L35" s="77">
        <v>15583</v>
      </c>
      <c r="M35" s="318" t="s">
        <v>70</v>
      </c>
      <c r="N35" s="318"/>
      <c r="O35" s="318"/>
      <c r="P35" s="60">
        <v>10</v>
      </c>
      <c r="Q35" s="316">
        <f t="shared" si="9"/>
        <v>-8.3333333333333332E-3</v>
      </c>
      <c r="R35" s="38">
        <f>Q35*U35</f>
        <v>-0.5</v>
      </c>
      <c r="S35" s="38">
        <f t="shared" si="10"/>
        <v>0.5</v>
      </c>
      <c r="U35" s="121">
        <f>IF((DATEDIF(G35,U$4,"m"))&gt;=120,120,(DATEDIF(G35,U$4,"m")))</f>
        <v>60</v>
      </c>
    </row>
    <row r="36" spans="1:21" s="60" customFormat="1">
      <c r="A36" s="67" t="s">
        <v>79</v>
      </c>
      <c r="B36" s="72"/>
      <c r="C36" s="72"/>
      <c r="D36" s="72"/>
      <c r="E36" s="72"/>
      <c r="F36" s="72"/>
      <c r="G36" s="220"/>
      <c r="H36" s="72"/>
      <c r="I36" s="72"/>
      <c r="J36" s="72"/>
      <c r="K36" s="317"/>
      <c r="L36" s="77"/>
      <c r="M36" s="318"/>
      <c r="N36" s="68">
        <f>SUM(N33:N35)</f>
        <v>84489.54</v>
      </c>
      <c r="O36" s="68"/>
      <c r="P36" s="68"/>
      <c r="Q36" s="68">
        <f>SUM(Q33:Q35)</f>
        <v>704.05449999999996</v>
      </c>
      <c r="R36" s="68">
        <f>SUM(R33:R35)</f>
        <v>42243.27</v>
      </c>
      <c r="S36" s="68">
        <f>SUM(S33:S35)</f>
        <v>42246.27</v>
      </c>
      <c r="U36" s="121"/>
    </row>
    <row r="37" spans="1:21" s="60" customFormat="1">
      <c r="B37" s="72"/>
      <c r="C37" s="72"/>
      <c r="D37" s="72"/>
      <c r="E37" s="72"/>
      <c r="F37" s="72"/>
      <c r="G37" s="220"/>
      <c r="H37" s="72"/>
      <c r="I37" s="72"/>
      <c r="J37" s="72"/>
      <c r="K37" s="317"/>
      <c r="L37" s="77"/>
      <c r="M37" s="318"/>
      <c r="N37" s="318"/>
      <c r="O37" s="318"/>
      <c r="Q37" s="61"/>
      <c r="R37" s="61"/>
      <c r="S37" s="61"/>
      <c r="U37" s="121"/>
    </row>
    <row r="38" spans="1:21" s="67" customFormat="1">
      <c r="A38" s="67" t="s">
        <v>78</v>
      </c>
      <c r="B38" s="69"/>
      <c r="D38" s="76"/>
      <c r="G38" s="220"/>
      <c r="H38" s="75"/>
      <c r="I38" s="75"/>
      <c r="J38" s="74"/>
      <c r="N38" s="73">
        <f>+N31+N36</f>
        <v>1001863.6800000001</v>
      </c>
      <c r="O38" s="73"/>
      <c r="P38" s="73"/>
      <c r="Q38" s="73">
        <f>+Q31+Q36</f>
        <v>8348.6389999999992</v>
      </c>
      <c r="R38" s="73">
        <f>+R31+R36</f>
        <v>850049.58325000003</v>
      </c>
      <c r="S38" s="73">
        <f>+S31+S36</f>
        <v>151814.09675</v>
      </c>
      <c r="U38" s="121"/>
    </row>
    <row r="39" spans="1:21" s="60" customFormat="1">
      <c r="B39" s="65"/>
      <c r="D39" s="64"/>
      <c r="G39" s="220"/>
      <c r="H39" s="63"/>
      <c r="I39" s="63"/>
      <c r="J39" s="62"/>
      <c r="N39" s="61"/>
      <c r="O39" s="61"/>
      <c r="Q39" s="61"/>
      <c r="R39" s="61"/>
      <c r="S39" s="61"/>
      <c r="U39" s="121"/>
    </row>
    <row r="40" spans="1:21" s="60" customFormat="1">
      <c r="A40" s="72" t="s">
        <v>77</v>
      </c>
      <c r="B40" s="65" t="s">
        <v>72</v>
      </c>
      <c r="D40" s="64" t="s">
        <v>76</v>
      </c>
      <c r="E40" s="60" t="s">
        <v>75</v>
      </c>
      <c r="F40" s="60" t="s">
        <v>71</v>
      </c>
      <c r="G40" s="220" t="str">
        <f t="shared" si="6"/>
        <v>2/7/2010</v>
      </c>
      <c r="H40" s="71">
        <v>2</v>
      </c>
      <c r="I40" s="71">
        <v>7</v>
      </c>
      <c r="J40" s="70">
        <v>2010</v>
      </c>
      <c r="K40" s="60" t="s">
        <v>54</v>
      </c>
      <c r="L40" s="64">
        <v>14671</v>
      </c>
      <c r="M40" s="320" t="s">
        <v>70</v>
      </c>
      <c r="N40" s="321">
        <v>580460</v>
      </c>
      <c r="O40" s="321"/>
      <c r="P40" s="60">
        <v>10</v>
      </c>
      <c r="Q40" s="316">
        <f t="shared" ref="Q40:Q42" si="11">(((N40)-1)/10)/12</f>
        <v>4837.1583333333338</v>
      </c>
      <c r="R40" s="38">
        <f>Q40*U40</f>
        <v>217672.12500000003</v>
      </c>
      <c r="S40" s="38">
        <f t="shared" ref="S40:S42" si="12">N40-R40</f>
        <v>362787.875</v>
      </c>
      <c r="U40" s="121">
        <f>IF((DATEDIF(G40,U$4,"m"))&gt;=120,120,(DATEDIF(G40,U$4,"m")))</f>
        <v>45</v>
      </c>
    </row>
    <row r="41" spans="1:21" s="60" customFormat="1">
      <c r="A41" s="60" t="s">
        <v>74</v>
      </c>
      <c r="B41" s="65" t="s">
        <v>72</v>
      </c>
      <c r="D41" s="64"/>
      <c r="F41" s="60" t="s">
        <v>71</v>
      </c>
      <c r="G41" s="220" t="str">
        <f t="shared" si="6"/>
        <v>2/7/2010</v>
      </c>
      <c r="H41" s="71">
        <v>2</v>
      </c>
      <c r="I41" s="71">
        <v>7</v>
      </c>
      <c r="J41" s="70">
        <v>2010</v>
      </c>
      <c r="K41" s="60" t="s">
        <v>54</v>
      </c>
      <c r="L41" s="64">
        <v>14671</v>
      </c>
      <c r="M41" s="320" t="s">
        <v>70</v>
      </c>
      <c r="N41" s="322">
        <v>1451150</v>
      </c>
      <c r="O41" s="322"/>
      <c r="P41" s="60">
        <v>10</v>
      </c>
      <c r="Q41" s="316">
        <f t="shared" si="11"/>
        <v>12092.908333333333</v>
      </c>
      <c r="R41" s="38">
        <f>Q41*U41</f>
        <v>544180.875</v>
      </c>
      <c r="S41" s="38">
        <f t="shared" si="12"/>
        <v>906969.125</v>
      </c>
      <c r="U41" s="121">
        <f>IF((DATEDIF(G41,U$4,"m"))&gt;=120,120,(DATEDIF(G41,U$4,"m")))</f>
        <v>45</v>
      </c>
    </row>
    <row r="42" spans="1:21" s="60" customFormat="1">
      <c r="A42" s="60" t="s">
        <v>73</v>
      </c>
      <c r="B42" s="65" t="s">
        <v>72</v>
      </c>
      <c r="D42" s="64"/>
      <c r="F42" s="60" t="s">
        <v>71</v>
      </c>
      <c r="G42" s="220" t="str">
        <f t="shared" si="6"/>
        <v>2/7/2010</v>
      </c>
      <c r="H42" s="71">
        <v>2</v>
      </c>
      <c r="I42" s="71">
        <v>7</v>
      </c>
      <c r="J42" s="70">
        <v>2010</v>
      </c>
      <c r="K42" s="60" t="s">
        <v>54</v>
      </c>
      <c r="L42" s="64">
        <v>14671</v>
      </c>
      <c r="M42" s="320" t="s">
        <v>70</v>
      </c>
      <c r="N42" s="322">
        <v>870690</v>
      </c>
      <c r="O42" s="322"/>
      <c r="P42" s="60">
        <v>10</v>
      </c>
      <c r="Q42" s="316">
        <f t="shared" si="11"/>
        <v>7255.7416666666659</v>
      </c>
      <c r="R42" s="38">
        <f>Q42*U42</f>
        <v>326508.37499999994</v>
      </c>
      <c r="S42" s="38">
        <f t="shared" si="12"/>
        <v>544181.625</v>
      </c>
      <c r="U42" s="121">
        <f>IF((DATEDIF(G42,U$4,"m"))&gt;=120,120,(DATEDIF(G42,U$4,"m")))</f>
        <v>45</v>
      </c>
    </row>
    <row r="43" spans="1:21" s="60" customFormat="1">
      <c r="A43" s="67" t="s">
        <v>69</v>
      </c>
      <c r="B43" s="69"/>
      <c r="D43" s="64"/>
      <c r="G43" s="220"/>
      <c r="H43" s="63"/>
      <c r="I43" s="63"/>
      <c r="J43" s="62"/>
      <c r="N43" s="68">
        <f>SUM(N40:N42)</f>
        <v>2902300</v>
      </c>
      <c r="O43" s="68"/>
      <c r="P43" s="68"/>
      <c r="Q43" s="68">
        <f>SUM(Q40:Q42)</f>
        <v>24185.808333333331</v>
      </c>
      <c r="R43" s="68">
        <f>SUM(R40:R42)</f>
        <v>1088361.375</v>
      </c>
      <c r="S43" s="68">
        <f>SUM(S40:S42)</f>
        <v>1813938.625</v>
      </c>
      <c r="U43" s="121"/>
    </row>
    <row r="44" spans="1:21" s="60" customFormat="1">
      <c r="B44" s="65"/>
      <c r="D44" s="64"/>
      <c r="G44" s="220"/>
      <c r="H44" s="63"/>
      <c r="I44" s="63"/>
      <c r="J44" s="62"/>
      <c r="N44" s="61"/>
      <c r="O44" s="61"/>
      <c r="Q44" s="61"/>
      <c r="R44" s="61"/>
      <c r="S44" s="61"/>
      <c r="U44" s="121"/>
    </row>
    <row r="45" spans="1:21" s="60" customFormat="1" ht="15.75" customHeight="1">
      <c r="B45" s="65" t="s">
        <v>2765</v>
      </c>
      <c r="C45" s="60" t="s">
        <v>2766</v>
      </c>
      <c r="D45" s="64"/>
      <c r="F45" s="60" t="s">
        <v>2767</v>
      </c>
      <c r="G45" s="220">
        <v>41556</v>
      </c>
      <c r="H45" s="71">
        <v>2</v>
      </c>
      <c r="I45" s="71">
        <v>7</v>
      </c>
      <c r="J45" s="70">
        <v>2010</v>
      </c>
      <c r="K45" s="60" t="s">
        <v>54</v>
      </c>
      <c r="L45" s="64" t="s">
        <v>2768</v>
      </c>
      <c r="M45" s="320" t="s">
        <v>70</v>
      </c>
      <c r="N45" s="322">
        <v>65000</v>
      </c>
      <c r="O45" s="322"/>
      <c r="P45" s="60">
        <v>10</v>
      </c>
      <c r="Q45" s="316">
        <f t="shared" ref="Q45" si="13">(((N45)-1)/10)/12</f>
        <v>541.6583333333333</v>
      </c>
      <c r="R45" s="38">
        <f>Q45*U45</f>
        <v>3249.95</v>
      </c>
      <c r="S45" s="38">
        <f t="shared" ref="S45" si="14">N45-R45</f>
        <v>61750.05</v>
      </c>
      <c r="T45" s="60">
        <v>18602</v>
      </c>
      <c r="U45" s="121">
        <f>IF((DATEDIF(G45,U$4,"m"))&gt;=120,120,(DATEDIF(G45,U$4,"m")))</f>
        <v>6</v>
      </c>
    </row>
    <row r="46" spans="1:21" s="60" customFormat="1">
      <c r="A46" s="67" t="s">
        <v>2764</v>
      </c>
      <c r="B46" s="69"/>
      <c r="D46" s="64"/>
      <c r="G46" s="220"/>
      <c r="H46" s="63"/>
      <c r="I46" s="63"/>
      <c r="J46" s="62"/>
      <c r="N46" s="68">
        <f>SUM(N45)</f>
        <v>65000</v>
      </c>
      <c r="O46" s="68"/>
      <c r="P46" s="68"/>
      <c r="Q46" s="68">
        <f>SUM(Q45)</f>
        <v>541.6583333333333</v>
      </c>
      <c r="R46" s="68">
        <f>SUM(R45)</f>
        <v>3249.95</v>
      </c>
      <c r="S46" s="68">
        <f>SUM(S45)</f>
        <v>61750.05</v>
      </c>
      <c r="U46" s="121"/>
    </row>
    <row r="47" spans="1:21" s="60" customFormat="1">
      <c r="B47" s="65"/>
      <c r="D47" s="64"/>
      <c r="G47" s="220"/>
      <c r="H47" s="63"/>
      <c r="I47" s="63"/>
      <c r="J47" s="62"/>
      <c r="N47" s="61"/>
      <c r="O47" s="61"/>
      <c r="Q47" s="61"/>
      <c r="R47" s="61"/>
      <c r="S47" s="61"/>
      <c r="U47" s="121"/>
    </row>
    <row r="48" spans="1:21" s="60" customFormat="1" ht="16.5" thickBot="1">
      <c r="A48" s="67" t="s">
        <v>2763</v>
      </c>
      <c r="B48" s="65"/>
      <c r="D48" s="64"/>
      <c r="G48" s="220"/>
      <c r="H48" s="63"/>
      <c r="I48" s="63"/>
      <c r="J48" s="62"/>
      <c r="N48" s="66">
        <f>+N38+N43+N46</f>
        <v>3969163.68</v>
      </c>
      <c r="O48" s="66">
        <f t="shared" ref="O48:Q48" si="15">+O38+O43</f>
        <v>0</v>
      </c>
      <c r="P48" s="66">
        <f t="shared" si="15"/>
        <v>0</v>
      </c>
      <c r="Q48" s="66">
        <f>+Q38+Q43+Q46</f>
        <v>33076.105666666663</v>
      </c>
      <c r="R48" s="66">
        <f>+R38+R43+R46</f>
        <v>1941660.9082500001</v>
      </c>
      <c r="S48" s="66">
        <f>+S38+S43+S46</f>
        <v>2027502.7717500001</v>
      </c>
      <c r="U48" s="121"/>
    </row>
    <row r="49" spans="2:21" s="60" customFormat="1" ht="16.5" thickTop="1">
      <c r="B49" s="65"/>
      <c r="D49" s="64"/>
      <c r="G49" s="64"/>
      <c r="H49" s="63"/>
      <c r="I49" s="63"/>
      <c r="J49" s="62"/>
      <c r="N49" s="61"/>
      <c r="O49" s="61"/>
      <c r="Q49" s="61"/>
      <c r="R49" s="61"/>
      <c r="S49" s="61"/>
      <c r="U49" s="121"/>
    </row>
    <row r="50" spans="2:21" s="60" customFormat="1">
      <c r="B50" s="65"/>
      <c r="D50" s="64"/>
      <c r="G50" s="64"/>
      <c r="H50" s="63"/>
      <c r="I50" s="63"/>
      <c r="J50" s="62"/>
      <c r="N50" s="61"/>
      <c r="O50" s="61"/>
      <c r="Q50" s="61"/>
      <c r="R50" s="61"/>
      <c r="S50" s="61"/>
      <c r="U50" s="121"/>
    </row>
    <row r="51" spans="2:21" s="60" customFormat="1">
      <c r="B51" s="65"/>
      <c r="D51" s="64"/>
      <c r="G51" s="64"/>
      <c r="H51" s="63"/>
      <c r="I51" s="63"/>
      <c r="J51" s="62"/>
      <c r="N51" s="61"/>
      <c r="O51" s="61"/>
      <c r="Q51" s="61"/>
      <c r="R51" s="61"/>
      <c r="S51" s="61"/>
      <c r="U51" s="121"/>
    </row>
    <row r="52" spans="2:21" s="60" customFormat="1">
      <c r="B52" s="65"/>
      <c r="D52" s="64"/>
      <c r="G52" s="64"/>
      <c r="H52" s="63"/>
      <c r="I52" s="63"/>
      <c r="J52" s="62"/>
      <c r="N52" s="61"/>
      <c r="O52" s="61"/>
      <c r="Q52" s="61"/>
      <c r="R52" s="61"/>
      <c r="S52" s="61"/>
      <c r="U52" s="121"/>
    </row>
    <row r="53" spans="2:21" s="60" customFormat="1">
      <c r="B53" s="65"/>
      <c r="D53" s="64"/>
      <c r="G53" s="64"/>
      <c r="H53" s="63"/>
      <c r="I53" s="63"/>
      <c r="J53" s="62"/>
      <c r="N53" s="61"/>
      <c r="O53" s="61"/>
      <c r="Q53" s="61"/>
      <c r="R53" s="61"/>
      <c r="S53" s="61"/>
      <c r="U53" s="121"/>
    </row>
    <row r="54" spans="2:21" s="60" customFormat="1">
      <c r="B54" s="65"/>
      <c r="D54" s="64"/>
      <c r="G54" s="64"/>
      <c r="H54" s="63"/>
      <c r="I54" s="63"/>
      <c r="J54" s="62"/>
      <c r="N54" s="61"/>
      <c r="O54" s="61"/>
      <c r="Q54" s="61"/>
      <c r="R54" s="61"/>
      <c r="S54" s="61"/>
      <c r="U54" s="121"/>
    </row>
    <row r="55" spans="2:21" s="60" customFormat="1">
      <c r="B55" s="65"/>
      <c r="D55" s="64"/>
      <c r="G55" s="64"/>
      <c r="H55" s="63"/>
      <c r="I55" s="63"/>
      <c r="J55" s="62"/>
      <c r="N55" s="61"/>
      <c r="O55" s="61"/>
      <c r="Q55" s="61"/>
      <c r="R55" s="61"/>
      <c r="S55" s="61"/>
      <c r="U55" s="121"/>
    </row>
    <row r="56" spans="2:21" s="60" customFormat="1">
      <c r="B56" s="65"/>
      <c r="D56" s="64"/>
      <c r="G56" s="64"/>
      <c r="H56" s="63"/>
      <c r="I56" s="63"/>
      <c r="J56" s="62"/>
      <c r="N56" s="61"/>
      <c r="O56" s="61"/>
      <c r="Q56" s="61"/>
      <c r="R56" s="61"/>
      <c r="S56" s="61"/>
      <c r="U56" s="121"/>
    </row>
    <row r="57" spans="2:21" s="60" customFormat="1">
      <c r="B57" s="65"/>
      <c r="D57" s="64"/>
      <c r="G57" s="64"/>
      <c r="H57" s="63"/>
      <c r="I57" s="63"/>
      <c r="J57" s="62"/>
      <c r="N57" s="61"/>
      <c r="O57" s="61"/>
      <c r="Q57" s="61"/>
      <c r="R57" s="61"/>
      <c r="S57" s="61"/>
      <c r="U57" s="121"/>
    </row>
    <row r="58" spans="2:21" s="60" customFormat="1">
      <c r="B58" s="65"/>
      <c r="D58" s="64"/>
      <c r="G58" s="64"/>
      <c r="H58" s="63"/>
      <c r="I58" s="63"/>
      <c r="J58" s="62"/>
      <c r="N58" s="61"/>
      <c r="O58" s="61"/>
      <c r="Q58" s="61"/>
      <c r="R58" s="61"/>
      <c r="S58" s="61"/>
      <c r="U58" s="121"/>
    </row>
    <row r="59" spans="2:21" s="60" customFormat="1">
      <c r="B59" s="65"/>
      <c r="D59" s="64"/>
      <c r="G59" s="64"/>
      <c r="H59" s="63"/>
      <c r="I59" s="63"/>
      <c r="J59" s="62"/>
      <c r="N59" s="61"/>
      <c r="O59" s="61"/>
      <c r="Q59" s="61"/>
      <c r="R59" s="61"/>
      <c r="S59" s="61"/>
      <c r="U59" s="121"/>
    </row>
    <row r="60" spans="2:21" s="60" customFormat="1">
      <c r="B60" s="65"/>
      <c r="D60" s="64"/>
      <c r="G60" s="64"/>
      <c r="H60" s="63"/>
      <c r="I60" s="63"/>
      <c r="J60" s="62"/>
      <c r="N60" s="61"/>
      <c r="O60" s="61"/>
      <c r="Q60" s="61"/>
      <c r="R60" s="61"/>
      <c r="S60" s="61"/>
      <c r="U60" s="121"/>
    </row>
    <row r="61" spans="2:21" s="60" customFormat="1">
      <c r="B61" s="65"/>
      <c r="D61" s="64"/>
      <c r="G61" s="64"/>
      <c r="H61" s="63"/>
      <c r="I61" s="63"/>
      <c r="J61" s="62"/>
      <c r="N61" s="61"/>
      <c r="O61" s="61"/>
      <c r="Q61" s="61"/>
      <c r="R61" s="61"/>
      <c r="S61" s="61"/>
      <c r="U61" s="121"/>
    </row>
    <row r="62" spans="2:21" s="60" customFormat="1">
      <c r="B62" s="65"/>
      <c r="D62" s="64"/>
      <c r="G62" s="64"/>
      <c r="H62" s="63"/>
      <c r="I62" s="63"/>
      <c r="J62" s="62"/>
      <c r="N62" s="61"/>
      <c r="O62" s="61"/>
      <c r="Q62" s="61"/>
      <c r="R62" s="61"/>
      <c r="S62" s="61"/>
      <c r="U62" s="121"/>
    </row>
    <row r="63" spans="2:21">
      <c r="U63" s="121"/>
    </row>
    <row r="64" spans="2:21">
      <c r="U64" s="121"/>
    </row>
    <row r="65" spans="21:21">
      <c r="U65" s="121"/>
    </row>
    <row r="66" spans="21:21">
      <c r="U66" s="121"/>
    </row>
    <row r="67" spans="21:21">
      <c r="U67" s="121"/>
    </row>
    <row r="68" spans="21:21">
      <c r="U68" s="121"/>
    </row>
    <row r="69" spans="21:21">
      <c r="U69" s="121"/>
    </row>
    <row r="70" spans="21:21">
      <c r="U70" s="121"/>
    </row>
    <row r="71" spans="21:21">
      <c r="U71" s="121"/>
    </row>
    <row r="72" spans="21:21">
      <c r="U72" s="121"/>
    </row>
    <row r="73" spans="21:21">
      <c r="U73" s="121"/>
    </row>
    <row r="74" spans="21:21">
      <c r="U74" s="121"/>
    </row>
    <row r="75" spans="21:21">
      <c r="U75" s="121"/>
    </row>
    <row r="76" spans="21:21">
      <c r="U76" s="121"/>
    </row>
    <row r="77" spans="21:21">
      <c r="U77" s="121"/>
    </row>
    <row r="78" spans="21:21">
      <c r="U78" s="121"/>
    </row>
    <row r="79" spans="21:21">
      <c r="U79" s="121"/>
    </row>
    <row r="80" spans="21:21">
      <c r="U80" s="121"/>
    </row>
    <row r="81" spans="21:21">
      <c r="U81" s="121"/>
    </row>
    <row r="82" spans="21:21">
      <c r="U82" s="121"/>
    </row>
    <row r="83" spans="21:21">
      <c r="U83" s="121"/>
    </row>
    <row r="84" spans="21:21">
      <c r="U84" s="121"/>
    </row>
    <row r="85" spans="21:21">
      <c r="U85" s="121"/>
    </row>
    <row r="86" spans="21:21">
      <c r="U86" s="121"/>
    </row>
    <row r="87" spans="21:21">
      <c r="U87" s="121"/>
    </row>
    <row r="88" spans="21:21">
      <c r="U88" s="121"/>
    </row>
    <row r="89" spans="21:21">
      <c r="U89" s="121"/>
    </row>
    <row r="90" spans="21:21">
      <c r="U90" s="121"/>
    </row>
    <row r="91" spans="21:21">
      <c r="U91" s="121"/>
    </row>
    <row r="92" spans="21:21">
      <c r="U92" s="121"/>
    </row>
    <row r="93" spans="21:21">
      <c r="U93" s="121"/>
    </row>
    <row r="94" spans="21:21">
      <c r="U94" s="121"/>
    </row>
    <row r="95" spans="21:21">
      <c r="U95" s="121"/>
    </row>
    <row r="96" spans="21:21">
      <c r="U96" s="121"/>
    </row>
    <row r="97" spans="21:21">
      <c r="U97" s="121"/>
    </row>
    <row r="98" spans="21:21">
      <c r="U98" s="121"/>
    </row>
    <row r="99" spans="21:21">
      <c r="U99" s="121"/>
    </row>
    <row r="100" spans="21:21">
      <c r="U100" s="121"/>
    </row>
    <row r="101" spans="21:21">
      <c r="U101" s="121"/>
    </row>
    <row r="102" spans="21:21">
      <c r="U102" s="121"/>
    </row>
    <row r="103" spans="21:21">
      <c r="U103" s="121"/>
    </row>
    <row r="104" spans="21:21">
      <c r="U104" s="121"/>
    </row>
    <row r="105" spans="21:21">
      <c r="U105" s="121"/>
    </row>
    <row r="106" spans="21:21">
      <c r="U106" s="121"/>
    </row>
    <row r="107" spans="21:21">
      <c r="U107" s="121"/>
    </row>
    <row r="108" spans="21:21">
      <c r="U108" s="121"/>
    </row>
    <row r="109" spans="21:21">
      <c r="U109" s="121"/>
    </row>
    <row r="110" spans="21:21">
      <c r="U110" s="121"/>
    </row>
    <row r="111" spans="21:21">
      <c r="U111" s="121"/>
    </row>
    <row r="112" spans="21:21">
      <c r="U112" s="121"/>
    </row>
    <row r="113" spans="21:21">
      <c r="U113" s="121"/>
    </row>
    <row r="114" spans="21:21">
      <c r="U114" s="121"/>
    </row>
    <row r="115" spans="21:21">
      <c r="U115" s="121"/>
    </row>
    <row r="116" spans="21:21">
      <c r="U116" s="121"/>
    </row>
    <row r="117" spans="21:21">
      <c r="U117" s="121"/>
    </row>
    <row r="118" spans="21:21">
      <c r="U118" s="121"/>
    </row>
    <row r="119" spans="21:21">
      <c r="U119" s="121"/>
    </row>
    <row r="120" spans="21:21">
      <c r="U120" s="121"/>
    </row>
    <row r="121" spans="21:21">
      <c r="U121" s="121"/>
    </row>
    <row r="122" spans="21:21">
      <c r="U122" s="121"/>
    </row>
    <row r="123" spans="21:21">
      <c r="U123" s="121"/>
    </row>
    <row r="124" spans="21:21">
      <c r="U124" s="121"/>
    </row>
    <row r="125" spans="21:21">
      <c r="U125" s="121"/>
    </row>
    <row r="126" spans="21:21">
      <c r="U126" s="121"/>
    </row>
    <row r="127" spans="21:21">
      <c r="U127" s="121"/>
    </row>
    <row r="128" spans="21:21">
      <c r="U128" s="121"/>
    </row>
    <row r="129" spans="21:21">
      <c r="U129" s="121"/>
    </row>
    <row r="130" spans="21:21">
      <c r="U130" s="121"/>
    </row>
    <row r="131" spans="21:21">
      <c r="U131" s="121"/>
    </row>
    <row r="132" spans="21:21">
      <c r="U132" s="121"/>
    </row>
    <row r="133" spans="21:21">
      <c r="U133" s="121"/>
    </row>
    <row r="134" spans="21:21">
      <c r="U134" s="121"/>
    </row>
    <row r="135" spans="21:21">
      <c r="U135" s="121"/>
    </row>
    <row r="136" spans="21:21">
      <c r="U136" s="121"/>
    </row>
    <row r="137" spans="21:21">
      <c r="U137" s="121"/>
    </row>
    <row r="138" spans="21:21">
      <c r="U138" s="121"/>
    </row>
    <row r="139" spans="21:21">
      <c r="U139" s="121"/>
    </row>
    <row r="140" spans="21:21">
      <c r="U140" s="121"/>
    </row>
    <row r="141" spans="21:21">
      <c r="U141" s="121"/>
    </row>
    <row r="142" spans="21:21">
      <c r="U142" s="121"/>
    </row>
    <row r="143" spans="21:21">
      <c r="U143" s="121"/>
    </row>
    <row r="144" spans="21:21">
      <c r="U144" s="121"/>
    </row>
    <row r="145" spans="21:21">
      <c r="U145" s="121"/>
    </row>
    <row r="146" spans="21:21">
      <c r="U146" s="121"/>
    </row>
    <row r="147" spans="21:21">
      <c r="U147" s="121"/>
    </row>
    <row r="148" spans="21:21">
      <c r="U148" s="121"/>
    </row>
    <row r="149" spans="21:21">
      <c r="U149" s="121"/>
    </row>
    <row r="150" spans="21:21">
      <c r="U150" s="121"/>
    </row>
    <row r="151" spans="21:21">
      <c r="U151" s="121"/>
    </row>
    <row r="152" spans="21:21">
      <c r="U152" s="121"/>
    </row>
    <row r="153" spans="21:21">
      <c r="U153" s="121"/>
    </row>
    <row r="154" spans="21:21">
      <c r="U154" s="121"/>
    </row>
    <row r="155" spans="21:21">
      <c r="U155" s="121"/>
    </row>
    <row r="156" spans="21:21">
      <c r="U156" s="121"/>
    </row>
    <row r="157" spans="21:21">
      <c r="U157" s="121"/>
    </row>
    <row r="158" spans="21:21">
      <c r="U158" s="121"/>
    </row>
    <row r="159" spans="21:21">
      <c r="U159" s="121"/>
    </row>
    <row r="160" spans="21:21">
      <c r="U160" s="121"/>
    </row>
    <row r="161" spans="21:21">
      <c r="U161" s="121"/>
    </row>
    <row r="162" spans="21:21">
      <c r="U162" s="121"/>
    </row>
    <row r="163" spans="21:21">
      <c r="U163" s="121"/>
    </row>
    <row r="164" spans="21:21">
      <c r="U164" s="121"/>
    </row>
    <row r="165" spans="21:21">
      <c r="U165" s="121"/>
    </row>
    <row r="166" spans="21:21">
      <c r="U166" s="121"/>
    </row>
    <row r="167" spans="21:21">
      <c r="U167" s="121"/>
    </row>
    <row r="168" spans="21:21">
      <c r="U168" s="121"/>
    </row>
    <row r="169" spans="21:21">
      <c r="U169" s="121"/>
    </row>
    <row r="170" spans="21:21">
      <c r="U170" s="121"/>
    </row>
    <row r="171" spans="21:21">
      <c r="U171" s="121"/>
    </row>
    <row r="172" spans="21:21">
      <c r="U172" s="121"/>
    </row>
    <row r="173" spans="21:21">
      <c r="U173" s="121"/>
    </row>
    <row r="174" spans="21:21">
      <c r="U174" s="121"/>
    </row>
    <row r="175" spans="21:21">
      <c r="U175" s="121"/>
    </row>
    <row r="176" spans="21:21">
      <c r="U176" s="121"/>
    </row>
    <row r="177" spans="21:21">
      <c r="U177" s="121"/>
    </row>
    <row r="178" spans="21:21">
      <c r="U178" s="121"/>
    </row>
    <row r="179" spans="21:21">
      <c r="U179" s="121"/>
    </row>
    <row r="180" spans="21:21">
      <c r="U180" s="121"/>
    </row>
    <row r="181" spans="21:21">
      <c r="U181" s="121"/>
    </row>
    <row r="182" spans="21:21">
      <c r="U182" s="121"/>
    </row>
    <row r="183" spans="21:21">
      <c r="U183" s="121"/>
    </row>
    <row r="184" spans="21:21">
      <c r="U184" s="121"/>
    </row>
    <row r="185" spans="21:21">
      <c r="U185" s="121"/>
    </row>
    <row r="186" spans="21:21">
      <c r="U186" s="121"/>
    </row>
    <row r="187" spans="21:21">
      <c r="U187" s="121"/>
    </row>
    <row r="188" spans="21:21">
      <c r="U188" s="121"/>
    </row>
    <row r="189" spans="21:21">
      <c r="U189" s="121"/>
    </row>
    <row r="190" spans="21:21">
      <c r="U190" s="121"/>
    </row>
    <row r="191" spans="21:21">
      <c r="U191" s="121"/>
    </row>
    <row r="192" spans="21:21">
      <c r="U192" s="121"/>
    </row>
    <row r="193" spans="21:21">
      <c r="U193" s="121"/>
    </row>
    <row r="194" spans="21:21">
      <c r="U194" s="121"/>
    </row>
    <row r="195" spans="21:21">
      <c r="U195" s="121"/>
    </row>
    <row r="196" spans="21:21">
      <c r="U196" s="121"/>
    </row>
    <row r="197" spans="21:21">
      <c r="U197" s="121"/>
    </row>
    <row r="198" spans="21:21">
      <c r="U198" s="121"/>
    </row>
    <row r="199" spans="21:21">
      <c r="U199" s="121"/>
    </row>
    <row r="200" spans="21:21">
      <c r="U200" s="121"/>
    </row>
    <row r="201" spans="21:21">
      <c r="U201" s="121"/>
    </row>
    <row r="202" spans="21:21">
      <c r="U202" s="121"/>
    </row>
    <row r="203" spans="21:21">
      <c r="U203" s="121"/>
    </row>
    <row r="204" spans="21:21">
      <c r="U204" s="121"/>
    </row>
    <row r="205" spans="21:21">
      <c r="U205" s="121"/>
    </row>
    <row r="206" spans="21:21">
      <c r="U206" s="121"/>
    </row>
    <row r="207" spans="21:21">
      <c r="U207" s="121"/>
    </row>
    <row r="208" spans="21:21">
      <c r="U208" s="121"/>
    </row>
    <row r="209" spans="21:21">
      <c r="U209" s="121"/>
    </row>
    <row r="210" spans="21:21">
      <c r="U210" s="121"/>
    </row>
    <row r="211" spans="21:21">
      <c r="U211" s="121"/>
    </row>
    <row r="212" spans="21:21">
      <c r="U212" s="121"/>
    </row>
    <row r="213" spans="21:21">
      <c r="U213" s="121"/>
    </row>
    <row r="214" spans="21:21">
      <c r="U214" s="121"/>
    </row>
    <row r="215" spans="21:21">
      <c r="U215" s="121"/>
    </row>
    <row r="216" spans="21:21">
      <c r="U216" s="121"/>
    </row>
    <row r="217" spans="21:21">
      <c r="U217" s="121"/>
    </row>
    <row r="218" spans="21:21">
      <c r="U218" s="121"/>
    </row>
    <row r="219" spans="21:21">
      <c r="U219" s="121"/>
    </row>
    <row r="220" spans="21:21">
      <c r="U220" s="121"/>
    </row>
    <row r="221" spans="21:21">
      <c r="U221" s="121"/>
    </row>
    <row r="222" spans="21:21">
      <c r="U222" s="121"/>
    </row>
    <row r="223" spans="21:21">
      <c r="U223" s="121"/>
    </row>
    <row r="224" spans="21:21">
      <c r="U224" s="121"/>
    </row>
    <row r="225" spans="21:21">
      <c r="U225" s="121"/>
    </row>
    <row r="226" spans="21:21">
      <c r="U226" s="121"/>
    </row>
    <row r="227" spans="21:21">
      <c r="U227" s="121"/>
    </row>
    <row r="228" spans="21:21">
      <c r="U228" s="121"/>
    </row>
    <row r="229" spans="21:21">
      <c r="U229" s="121"/>
    </row>
    <row r="230" spans="21:21">
      <c r="U230" s="121"/>
    </row>
    <row r="231" spans="21:21">
      <c r="U231" s="121"/>
    </row>
    <row r="232" spans="21:21">
      <c r="U232" s="121"/>
    </row>
    <row r="233" spans="21:21">
      <c r="U233" s="121"/>
    </row>
    <row r="234" spans="21:21">
      <c r="U234" s="150"/>
    </row>
    <row r="235" spans="21:21">
      <c r="U235" s="121">
        <f t="shared" ref="U235:U250" si="16">IF((DATEDIF(G235,U$4,"m"))&gt;=36,36,(DATEDIF(G235,U$4,"m")))</f>
        <v>36</v>
      </c>
    </row>
    <row r="236" spans="21:21">
      <c r="U236" s="121">
        <f t="shared" si="16"/>
        <v>36</v>
      </c>
    </row>
    <row r="237" spans="21:21">
      <c r="U237" s="121">
        <f t="shared" si="16"/>
        <v>36</v>
      </c>
    </row>
    <row r="238" spans="21:21">
      <c r="U238" s="121">
        <f t="shared" si="16"/>
        <v>36</v>
      </c>
    </row>
    <row r="239" spans="21:21">
      <c r="U239" s="121">
        <f t="shared" si="16"/>
        <v>36</v>
      </c>
    </row>
    <row r="240" spans="21:21">
      <c r="U240" s="121">
        <f t="shared" si="16"/>
        <v>36</v>
      </c>
    </row>
    <row r="241" spans="21:21">
      <c r="U241" s="121">
        <f t="shared" si="16"/>
        <v>36</v>
      </c>
    </row>
    <row r="242" spans="21:21">
      <c r="U242" s="121">
        <f t="shared" si="16"/>
        <v>36</v>
      </c>
    </row>
    <row r="243" spans="21:21">
      <c r="U243" s="121">
        <f t="shared" si="16"/>
        <v>36</v>
      </c>
    </row>
    <row r="244" spans="21:21">
      <c r="U244" s="121">
        <f t="shared" si="16"/>
        <v>36</v>
      </c>
    </row>
    <row r="245" spans="21:21">
      <c r="U245" s="121">
        <f t="shared" si="16"/>
        <v>36</v>
      </c>
    </row>
    <row r="246" spans="21:21">
      <c r="U246" s="121">
        <f t="shared" si="16"/>
        <v>36</v>
      </c>
    </row>
    <row r="247" spans="21:21">
      <c r="U247" s="121">
        <f t="shared" si="16"/>
        <v>36</v>
      </c>
    </row>
    <row r="248" spans="21:21">
      <c r="U248" s="121">
        <f t="shared" si="16"/>
        <v>36</v>
      </c>
    </row>
    <row r="249" spans="21:21">
      <c r="U249" s="121">
        <f t="shared" si="16"/>
        <v>36</v>
      </c>
    </row>
    <row r="250" spans="21:21">
      <c r="U250" s="121">
        <f t="shared" si="16"/>
        <v>36</v>
      </c>
    </row>
    <row r="251" spans="21:21">
      <c r="U251" s="116"/>
    </row>
  </sheetData>
  <sheetProtection sort="0" autoFilter="0"/>
  <mergeCells count="5">
    <mergeCell ref="A1:S1"/>
    <mergeCell ref="A2:S2"/>
    <mergeCell ref="A3:S3"/>
    <mergeCell ref="H5:J5"/>
    <mergeCell ref="Q5:R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I29"/>
  <sheetViews>
    <sheetView zoomScaleNormal="100" workbookViewId="0">
      <selection activeCell="G6" sqref="G6"/>
    </sheetView>
  </sheetViews>
  <sheetFormatPr baseColWidth="10" defaultRowHeight="12.75"/>
  <cols>
    <col min="1" max="1" width="38.42578125" bestFit="1" customWidth="1"/>
    <col min="2" max="2" width="17.7109375" style="378" bestFit="1" customWidth="1"/>
    <col min="3" max="3" width="13.7109375" style="378" bestFit="1" customWidth="1"/>
    <col min="4" max="4" width="16.5703125" style="378" bestFit="1" customWidth="1"/>
    <col min="5" max="5" width="16.28515625" style="378" bestFit="1" customWidth="1"/>
    <col min="7" max="7" width="14.28515625" bestFit="1" customWidth="1"/>
    <col min="9" max="9" width="12.85546875" bestFit="1" customWidth="1"/>
  </cols>
  <sheetData>
    <row r="1" spans="1:9" ht="20.25">
      <c r="A1" s="513" t="s">
        <v>0</v>
      </c>
      <c r="B1" s="513"/>
      <c r="C1" s="513"/>
      <c r="D1" s="513"/>
      <c r="E1" s="513"/>
    </row>
    <row r="2" spans="1:9" ht="20.25">
      <c r="A2" s="514" t="s">
        <v>2527</v>
      </c>
      <c r="B2" s="514"/>
      <c r="C2" s="514"/>
      <c r="D2" s="514"/>
      <c r="E2" s="514"/>
    </row>
    <row r="3" spans="1:9">
      <c r="A3" s="533" t="str">
        <f>'Equipos de Producción'!A3:S3</f>
        <v>(Al 30 de Abril del 2014)</v>
      </c>
      <c r="B3" s="533"/>
      <c r="C3" s="533"/>
      <c r="D3" s="533"/>
      <c r="E3" s="533"/>
    </row>
    <row r="4" spans="1:9">
      <c r="A4" s="86"/>
      <c r="B4" s="376"/>
      <c r="C4" s="376"/>
      <c r="D4" s="376"/>
      <c r="E4" s="376"/>
    </row>
    <row r="5" spans="1:9" ht="15.75">
      <c r="A5" s="56"/>
      <c r="B5" s="382"/>
      <c r="C5" s="518" t="s">
        <v>3</v>
      </c>
      <c r="D5" s="547"/>
      <c r="E5" s="38"/>
    </row>
    <row r="6" spans="1:9" ht="31.5">
      <c r="A6" s="51" t="s">
        <v>5</v>
      </c>
      <c r="B6" s="33" t="s">
        <v>2536</v>
      </c>
      <c r="C6" s="48" t="s">
        <v>21</v>
      </c>
      <c r="D6" s="47" t="s">
        <v>2524</v>
      </c>
      <c r="E6" s="33" t="s">
        <v>2540</v>
      </c>
    </row>
    <row r="7" spans="1:9">
      <c r="A7" t="s">
        <v>2528</v>
      </c>
      <c r="B7" s="378">
        <f>'Equipos de Producción'!N48</f>
        <v>3969163.68</v>
      </c>
      <c r="C7" s="378">
        <f>'Equipos de Producción'!Q48</f>
        <v>33076.105666666663</v>
      </c>
      <c r="D7" s="378">
        <f>'Equipos de Producción'!R48</f>
        <v>1941660.9082500001</v>
      </c>
      <c r="E7" s="378">
        <f>'Equipos de Producción'!S48</f>
        <v>2027502.7717500001</v>
      </c>
      <c r="G7" s="378"/>
      <c r="I7" s="378"/>
    </row>
    <row r="8" spans="1:9">
      <c r="A8" t="s">
        <v>2529</v>
      </c>
      <c r="B8" s="378">
        <f>'Equipos de Transporte'!N14</f>
        <v>8337558.6399999997</v>
      </c>
      <c r="C8" s="378">
        <f>'Equipos de Transporte'!R14</f>
        <v>123896.97500000001</v>
      </c>
      <c r="D8" s="378">
        <f>'Equipos de Transporte'!S14</f>
        <v>7267194.2966666678</v>
      </c>
      <c r="E8" s="378">
        <f>'Equipos de Transporte'!T14</f>
        <v>1130613.2883333331</v>
      </c>
      <c r="G8" s="378"/>
      <c r="I8" s="378"/>
    </row>
    <row r="9" spans="1:9">
      <c r="A9" t="s">
        <v>2539</v>
      </c>
      <c r="B9" s="378">
        <f>'Eq. Computos'!N345</f>
        <v>15423727.401399987</v>
      </c>
      <c r="C9" s="378">
        <f>'Eq. Computos'!R345</f>
        <v>385155.91003888822</v>
      </c>
      <c r="D9" s="378">
        <f>'Eq. Computos'!S345</f>
        <v>14008449.713538876</v>
      </c>
      <c r="E9" s="378">
        <f>'Eq. Computos'!T345</f>
        <v>1753533.0123055554</v>
      </c>
      <c r="G9" s="378"/>
      <c r="I9" s="378"/>
    </row>
    <row r="10" spans="1:9">
      <c r="A10" t="s">
        <v>2530</v>
      </c>
      <c r="B10" s="378">
        <f>'Equipos Médicos'!N93</f>
        <v>873585.46000000008</v>
      </c>
      <c r="C10" s="378">
        <f>'Equipos Médicos'!P93</f>
        <v>13687.513882217103</v>
      </c>
      <c r="D10" s="378">
        <f>'Equipos Médicos'!Q93</f>
        <v>752686.50852655934</v>
      </c>
      <c r="E10" s="378">
        <f>'Equipos Médicos'!R93</f>
        <v>120898.95147344074</v>
      </c>
      <c r="G10" s="378"/>
      <c r="I10" s="378"/>
    </row>
    <row r="11" spans="1:9">
      <c r="A11" t="s">
        <v>2531</v>
      </c>
      <c r="B11" s="378">
        <f>+'Equipos de Comunicaciones'!M83</f>
        <v>2909438.6420996678</v>
      </c>
      <c r="C11" s="378">
        <f>+'Equipos de Comunicaciones'!O83</f>
        <v>20806.431350830568</v>
      </c>
      <c r="D11" s="378">
        <f>+'Equipos de Comunicaciones'!P83</f>
        <v>1411434.9334241529</v>
      </c>
      <c r="E11" s="378">
        <f>+'Equipos de Comunicaciones'!Q83</f>
        <v>1498003.7086755149</v>
      </c>
      <c r="G11" s="378"/>
      <c r="I11" s="378"/>
    </row>
    <row r="12" spans="1:9">
      <c r="A12" t="s">
        <v>2532</v>
      </c>
      <c r="B12" s="378">
        <f>'Eq. y Muebles de Ofic.'!N1047</f>
        <v>10084695.59766401</v>
      </c>
      <c r="C12" s="378">
        <f>'Eq. y Muebles de Ofic.'!R1047</f>
        <v>93483.378636089008</v>
      </c>
      <c r="D12" s="378">
        <f>'Eq. y Muebles de Ofic.'!S1047</f>
        <v>5767850.9032306578</v>
      </c>
      <c r="E12" s="378">
        <f>'Eq. y Muebles de Ofic.'!T1047</f>
        <v>4316844.6944333315</v>
      </c>
      <c r="G12" s="378"/>
      <c r="I12" s="378"/>
    </row>
    <row r="13" spans="1:9">
      <c r="A13" t="s">
        <v>2533</v>
      </c>
      <c r="B13" s="378">
        <f>'Equipos Varios'!N9</f>
        <v>28500</v>
      </c>
      <c r="C13" s="378">
        <f>'Equipos Varios'!Q8</f>
        <v>474.98333333333335</v>
      </c>
      <c r="D13" s="378">
        <f>'Equipos Varios'!R8</f>
        <v>27549.033333333333</v>
      </c>
      <c r="E13" s="378">
        <f>'Equipos Varios'!S8</f>
        <v>950.96666666666715</v>
      </c>
      <c r="G13" s="378"/>
      <c r="I13" s="378"/>
    </row>
    <row r="14" spans="1:9">
      <c r="B14" s="379">
        <f>SUM(B7:B13)</f>
        <v>41626669.421163663</v>
      </c>
      <c r="C14" s="379">
        <f t="shared" ref="C14:D14" si="0">SUM(C7:C13)</f>
        <v>670581.29790802486</v>
      </c>
      <c r="D14" s="379">
        <f t="shared" si="0"/>
        <v>31176826.296970244</v>
      </c>
      <c r="E14" s="379">
        <f>SUM(E7:E13)</f>
        <v>10848347.393637843</v>
      </c>
      <c r="G14" s="378"/>
      <c r="I14" s="378"/>
    </row>
    <row r="15" spans="1:9">
      <c r="G15" s="378"/>
      <c r="I15" s="378"/>
    </row>
    <row r="16" spans="1:9">
      <c r="A16" t="s">
        <v>2541</v>
      </c>
      <c r="B16" s="380">
        <v>21160000</v>
      </c>
      <c r="C16" s="380">
        <v>0</v>
      </c>
      <c r="D16" s="380">
        <v>0</v>
      </c>
      <c r="E16" s="380">
        <f>B16-D16</f>
        <v>21160000</v>
      </c>
      <c r="G16" s="378"/>
      <c r="I16" s="378"/>
    </row>
    <row r="17" spans="1:9">
      <c r="G17" s="378"/>
      <c r="I17" s="378"/>
    </row>
    <row r="18" spans="1:9">
      <c r="A18" t="s">
        <v>2534</v>
      </c>
      <c r="B18" s="380">
        <f>Edificaciones!L7</f>
        <v>44913657.340000004</v>
      </c>
      <c r="C18" s="380">
        <f>Edificaciones!N7</f>
        <v>74856.093900000007</v>
      </c>
      <c r="D18" s="380">
        <f>Edificaciones!O7</f>
        <v>9207299.5497000013</v>
      </c>
      <c r="E18" s="380">
        <f>Edificaciones!P7</f>
        <v>35706357.790300004</v>
      </c>
      <c r="G18" s="378"/>
      <c r="I18" s="378"/>
    </row>
    <row r="19" spans="1:9">
      <c r="G19" s="378"/>
      <c r="I19" s="378"/>
    </row>
    <row r="20" spans="1:9">
      <c r="G20" s="378"/>
      <c r="I20" s="378"/>
    </row>
    <row r="21" spans="1:9">
      <c r="A21" t="s">
        <v>2535</v>
      </c>
      <c r="B21" s="380">
        <f>'Obras de Arte'!H60</f>
        <v>505421</v>
      </c>
      <c r="C21" s="380">
        <v>0</v>
      </c>
      <c r="D21" s="380">
        <v>0</v>
      </c>
      <c r="E21" s="380">
        <v>0</v>
      </c>
      <c r="G21" s="378"/>
      <c r="I21" s="378"/>
    </row>
    <row r="22" spans="1:9">
      <c r="G22" s="378"/>
      <c r="I22" s="378"/>
    </row>
    <row r="23" spans="1:9">
      <c r="G23" s="378"/>
      <c r="I23" s="378"/>
    </row>
    <row r="24" spans="1:9">
      <c r="A24" t="s">
        <v>2537</v>
      </c>
      <c r="B24" s="380">
        <v>42963679.520000003</v>
      </c>
      <c r="C24" s="380">
        <v>0</v>
      </c>
      <c r="D24" s="380">
        <v>1495683.68</v>
      </c>
      <c r="E24" s="380">
        <f>B24-D24</f>
        <v>41467995.840000004</v>
      </c>
      <c r="G24" s="378"/>
      <c r="I24" s="378"/>
    </row>
    <row r="25" spans="1:9">
      <c r="G25" s="378"/>
      <c r="I25" s="378"/>
    </row>
    <row r="26" spans="1:9">
      <c r="A26" t="s">
        <v>2538</v>
      </c>
      <c r="B26" s="380">
        <v>4514853.45</v>
      </c>
      <c r="C26" s="380">
        <f>B26/12</f>
        <v>376237.78750000003</v>
      </c>
      <c r="D26" s="380">
        <f>C26</f>
        <v>376237.78750000003</v>
      </c>
      <c r="E26" s="380">
        <f>B26-D26</f>
        <v>4138615.6625000001</v>
      </c>
      <c r="G26" s="378"/>
      <c r="I26" s="378"/>
    </row>
    <row r="27" spans="1:9">
      <c r="G27" s="378"/>
      <c r="I27" s="378"/>
    </row>
    <row r="28" spans="1:9" s="381" customFormat="1" ht="13.5" thickBot="1">
      <c r="B28" s="383">
        <f>+B14+B16+B18+B21+B24+B26</f>
        <v>155684280.73116365</v>
      </c>
      <c r="C28" s="383">
        <f t="shared" ref="C28:E28" si="1">+C14+C16+C18+C21+C24+C26</f>
        <v>1121675.1793080249</v>
      </c>
      <c r="D28" s="383">
        <f t="shared" si="1"/>
        <v>42256047.314170249</v>
      </c>
      <c r="E28" s="383">
        <f t="shared" si="1"/>
        <v>113321316.68643785</v>
      </c>
      <c r="G28" s="378"/>
      <c r="I28" s="378"/>
    </row>
    <row r="29" spans="1:9" ht="13.5" thickTop="1"/>
  </sheetData>
  <mergeCells count="4">
    <mergeCell ref="A1:E1"/>
    <mergeCell ref="A2:E2"/>
    <mergeCell ref="A3:E3"/>
    <mergeCell ref="C5:D5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23"/>
  <sheetViews>
    <sheetView topLeftCell="A4" zoomScaleNormal="100" workbookViewId="0">
      <selection activeCell="J15" sqref="J15"/>
    </sheetView>
  </sheetViews>
  <sheetFormatPr baseColWidth="10" defaultRowHeight="12.75"/>
  <cols>
    <col min="1" max="1" width="38.140625" style="388" customWidth="1"/>
    <col min="2" max="3" width="12.7109375" style="401" customWidth="1"/>
    <col min="4" max="4" width="13.28515625" style="401" customWidth="1"/>
    <col min="5" max="5" width="12.7109375" style="401" customWidth="1"/>
    <col min="6" max="6" width="12.7109375" style="388" customWidth="1"/>
    <col min="7" max="7" width="12.7109375" style="402" customWidth="1"/>
    <col min="8" max="8" width="12.7109375" style="403" customWidth="1"/>
    <col min="9" max="256" width="11.42578125" style="388"/>
    <col min="257" max="257" width="38.140625" style="388" customWidth="1"/>
    <col min="258" max="259" width="12.7109375" style="388" customWidth="1"/>
    <col min="260" max="260" width="13.28515625" style="388" customWidth="1"/>
    <col min="261" max="264" width="12.7109375" style="388" customWidth="1"/>
    <col min="265" max="512" width="11.42578125" style="388"/>
    <col min="513" max="513" width="38.140625" style="388" customWidth="1"/>
    <col min="514" max="515" width="12.7109375" style="388" customWidth="1"/>
    <col min="516" max="516" width="13.28515625" style="388" customWidth="1"/>
    <col min="517" max="520" width="12.7109375" style="388" customWidth="1"/>
    <col min="521" max="768" width="11.42578125" style="388"/>
    <col min="769" max="769" width="38.140625" style="388" customWidth="1"/>
    <col min="770" max="771" width="12.7109375" style="388" customWidth="1"/>
    <col min="772" max="772" width="13.28515625" style="388" customWidth="1"/>
    <col min="773" max="776" width="12.7109375" style="388" customWidth="1"/>
    <col min="777" max="1024" width="11.42578125" style="388"/>
    <col min="1025" max="1025" width="38.140625" style="388" customWidth="1"/>
    <col min="1026" max="1027" width="12.7109375" style="388" customWidth="1"/>
    <col min="1028" max="1028" width="13.28515625" style="388" customWidth="1"/>
    <col min="1029" max="1032" width="12.7109375" style="388" customWidth="1"/>
    <col min="1033" max="1280" width="11.42578125" style="388"/>
    <col min="1281" max="1281" width="38.140625" style="388" customWidth="1"/>
    <col min="1282" max="1283" width="12.7109375" style="388" customWidth="1"/>
    <col min="1284" max="1284" width="13.28515625" style="388" customWidth="1"/>
    <col min="1285" max="1288" width="12.7109375" style="388" customWidth="1"/>
    <col min="1289" max="1536" width="11.42578125" style="388"/>
    <col min="1537" max="1537" width="38.140625" style="388" customWidth="1"/>
    <col min="1538" max="1539" width="12.7109375" style="388" customWidth="1"/>
    <col min="1540" max="1540" width="13.28515625" style="388" customWidth="1"/>
    <col min="1541" max="1544" width="12.7109375" style="388" customWidth="1"/>
    <col min="1545" max="1792" width="11.42578125" style="388"/>
    <col min="1793" max="1793" width="38.140625" style="388" customWidth="1"/>
    <col min="1794" max="1795" width="12.7109375" style="388" customWidth="1"/>
    <col min="1796" max="1796" width="13.28515625" style="388" customWidth="1"/>
    <col min="1797" max="1800" width="12.7109375" style="388" customWidth="1"/>
    <col min="1801" max="2048" width="11.42578125" style="388"/>
    <col min="2049" max="2049" width="38.140625" style="388" customWidth="1"/>
    <col min="2050" max="2051" width="12.7109375" style="388" customWidth="1"/>
    <col min="2052" max="2052" width="13.28515625" style="388" customWidth="1"/>
    <col min="2053" max="2056" width="12.7109375" style="388" customWidth="1"/>
    <col min="2057" max="2304" width="11.42578125" style="388"/>
    <col min="2305" max="2305" width="38.140625" style="388" customWidth="1"/>
    <col min="2306" max="2307" width="12.7109375" style="388" customWidth="1"/>
    <col min="2308" max="2308" width="13.28515625" style="388" customWidth="1"/>
    <col min="2309" max="2312" width="12.7109375" style="388" customWidth="1"/>
    <col min="2313" max="2560" width="11.42578125" style="388"/>
    <col min="2561" max="2561" width="38.140625" style="388" customWidth="1"/>
    <col min="2562" max="2563" width="12.7109375" style="388" customWidth="1"/>
    <col min="2564" max="2564" width="13.28515625" style="388" customWidth="1"/>
    <col min="2565" max="2568" width="12.7109375" style="388" customWidth="1"/>
    <col min="2569" max="2816" width="11.42578125" style="388"/>
    <col min="2817" max="2817" width="38.140625" style="388" customWidth="1"/>
    <col min="2818" max="2819" width="12.7109375" style="388" customWidth="1"/>
    <col min="2820" max="2820" width="13.28515625" style="388" customWidth="1"/>
    <col min="2821" max="2824" width="12.7109375" style="388" customWidth="1"/>
    <col min="2825" max="3072" width="11.42578125" style="388"/>
    <col min="3073" max="3073" width="38.140625" style="388" customWidth="1"/>
    <col min="3074" max="3075" width="12.7109375" style="388" customWidth="1"/>
    <col min="3076" max="3076" width="13.28515625" style="388" customWidth="1"/>
    <col min="3077" max="3080" width="12.7109375" style="388" customWidth="1"/>
    <col min="3081" max="3328" width="11.42578125" style="388"/>
    <col min="3329" max="3329" width="38.140625" style="388" customWidth="1"/>
    <col min="3330" max="3331" width="12.7109375" style="388" customWidth="1"/>
    <col min="3332" max="3332" width="13.28515625" style="388" customWidth="1"/>
    <col min="3333" max="3336" width="12.7109375" style="388" customWidth="1"/>
    <col min="3337" max="3584" width="11.42578125" style="388"/>
    <col min="3585" max="3585" width="38.140625" style="388" customWidth="1"/>
    <col min="3586" max="3587" width="12.7109375" style="388" customWidth="1"/>
    <col min="3588" max="3588" width="13.28515625" style="388" customWidth="1"/>
    <col min="3589" max="3592" width="12.7109375" style="388" customWidth="1"/>
    <col min="3593" max="3840" width="11.42578125" style="388"/>
    <col min="3841" max="3841" width="38.140625" style="388" customWidth="1"/>
    <col min="3842" max="3843" width="12.7109375" style="388" customWidth="1"/>
    <col min="3844" max="3844" width="13.28515625" style="388" customWidth="1"/>
    <col min="3845" max="3848" width="12.7109375" style="388" customWidth="1"/>
    <col min="3849" max="4096" width="11.42578125" style="388"/>
    <col min="4097" max="4097" width="38.140625" style="388" customWidth="1"/>
    <col min="4098" max="4099" width="12.7109375" style="388" customWidth="1"/>
    <col min="4100" max="4100" width="13.28515625" style="388" customWidth="1"/>
    <col min="4101" max="4104" width="12.7109375" style="388" customWidth="1"/>
    <col min="4105" max="4352" width="11.42578125" style="388"/>
    <col min="4353" max="4353" width="38.140625" style="388" customWidth="1"/>
    <col min="4354" max="4355" width="12.7109375" style="388" customWidth="1"/>
    <col min="4356" max="4356" width="13.28515625" style="388" customWidth="1"/>
    <col min="4357" max="4360" width="12.7109375" style="388" customWidth="1"/>
    <col min="4361" max="4608" width="11.42578125" style="388"/>
    <col min="4609" max="4609" width="38.140625" style="388" customWidth="1"/>
    <col min="4610" max="4611" width="12.7109375" style="388" customWidth="1"/>
    <col min="4612" max="4612" width="13.28515625" style="388" customWidth="1"/>
    <col min="4613" max="4616" width="12.7109375" style="388" customWidth="1"/>
    <col min="4617" max="4864" width="11.42578125" style="388"/>
    <col min="4865" max="4865" width="38.140625" style="388" customWidth="1"/>
    <col min="4866" max="4867" width="12.7109375" style="388" customWidth="1"/>
    <col min="4868" max="4868" width="13.28515625" style="388" customWidth="1"/>
    <col min="4869" max="4872" width="12.7109375" style="388" customWidth="1"/>
    <col min="4873" max="5120" width="11.42578125" style="388"/>
    <col min="5121" max="5121" width="38.140625" style="388" customWidth="1"/>
    <col min="5122" max="5123" width="12.7109375" style="388" customWidth="1"/>
    <col min="5124" max="5124" width="13.28515625" style="388" customWidth="1"/>
    <col min="5125" max="5128" width="12.7109375" style="388" customWidth="1"/>
    <col min="5129" max="5376" width="11.42578125" style="388"/>
    <col min="5377" max="5377" width="38.140625" style="388" customWidth="1"/>
    <col min="5378" max="5379" width="12.7109375" style="388" customWidth="1"/>
    <col min="5380" max="5380" width="13.28515625" style="388" customWidth="1"/>
    <col min="5381" max="5384" width="12.7109375" style="388" customWidth="1"/>
    <col min="5385" max="5632" width="11.42578125" style="388"/>
    <col min="5633" max="5633" width="38.140625" style="388" customWidth="1"/>
    <col min="5634" max="5635" width="12.7109375" style="388" customWidth="1"/>
    <col min="5636" max="5636" width="13.28515625" style="388" customWidth="1"/>
    <col min="5637" max="5640" width="12.7109375" style="388" customWidth="1"/>
    <col min="5641" max="5888" width="11.42578125" style="388"/>
    <col min="5889" max="5889" width="38.140625" style="388" customWidth="1"/>
    <col min="5890" max="5891" width="12.7109375" style="388" customWidth="1"/>
    <col min="5892" max="5892" width="13.28515625" style="388" customWidth="1"/>
    <col min="5893" max="5896" width="12.7109375" style="388" customWidth="1"/>
    <col min="5897" max="6144" width="11.42578125" style="388"/>
    <col min="6145" max="6145" width="38.140625" style="388" customWidth="1"/>
    <col min="6146" max="6147" width="12.7109375" style="388" customWidth="1"/>
    <col min="6148" max="6148" width="13.28515625" style="388" customWidth="1"/>
    <col min="6149" max="6152" width="12.7109375" style="388" customWidth="1"/>
    <col min="6153" max="6400" width="11.42578125" style="388"/>
    <col min="6401" max="6401" width="38.140625" style="388" customWidth="1"/>
    <col min="6402" max="6403" width="12.7109375" style="388" customWidth="1"/>
    <col min="6404" max="6404" width="13.28515625" style="388" customWidth="1"/>
    <col min="6405" max="6408" width="12.7109375" style="388" customWidth="1"/>
    <col min="6409" max="6656" width="11.42578125" style="388"/>
    <col min="6657" max="6657" width="38.140625" style="388" customWidth="1"/>
    <col min="6658" max="6659" width="12.7109375" style="388" customWidth="1"/>
    <col min="6660" max="6660" width="13.28515625" style="388" customWidth="1"/>
    <col min="6661" max="6664" width="12.7109375" style="388" customWidth="1"/>
    <col min="6665" max="6912" width="11.42578125" style="388"/>
    <col min="6913" max="6913" width="38.140625" style="388" customWidth="1"/>
    <col min="6914" max="6915" width="12.7109375" style="388" customWidth="1"/>
    <col min="6916" max="6916" width="13.28515625" style="388" customWidth="1"/>
    <col min="6917" max="6920" width="12.7109375" style="388" customWidth="1"/>
    <col min="6921" max="7168" width="11.42578125" style="388"/>
    <col min="7169" max="7169" width="38.140625" style="388" customWidth="1"/>
    <col min="7170" max="7171" width="12.7109375" style="388" customWidth="1"/>
    <col min="7172" max="7172" width="13.28515625" style="388" customWidth="1"/>
    <col min="7173" max="7176" width="12.7109375" style="388" customWidth="1"/>
    <col min="7177" max="7424" width="11.42578125" style="388"/>
    <col min="7425" max="7425" width="38.140625" style="388" customWidth="1"/>
    <col min="7426" max="7427" width="12.7109375" style="388" customWidth="1"/>
    <col min="7428" max="7428" width="13.28515625" style="388" customWidth="1"/>
    <col min="7429" max="7432" width="12.7109375" style="388" customWidth="1"/>
    <col min="7433" max="7680" width="11.42578125" style="388"/>
    <col min="7681" max="7681" width="38.140625" style="388" customWidth="1"/>
    <col min="7682" max="7683" width="12.7109375" style="388" customWidth="1"/>
    <col min="7684" max="7684" width="13.28515625" style="388" customWidth="1"/>
    <col min="7685" max="7688" width="12.7109375" style="388" customWidth="1"/>
    <col min="7689" max="7936" width="11.42578125" style="388"/>
    <col min="7937" max="7937" width="38.140625" style="388" customWidth="1"/>
    <col min="7938" max="7939" width="12.7109375" style="388" customWidth="1"/>
    <col min="7940" max="7940" width="13.28515625" style="388" customWidth="1"/>
    <col min="7941" max="7944" width="12.7109375" style="388" customWidth="1"/>
    <col min="7945" max="8192" width="11.42578125" style="388"/>
    <col min="8193" max="8193" width="38.140625" style="388" customWidth="1"/>
    <col min="8194" max="8195" width="12.7109375" style="388" customWidth="1"/>
    <col min="8196" max="8196" width="13.28515625" style="388" customWidth="1"/>
    <col min="8197" max="8200" width="12.7109375" style="388" customWidth="1"/>
    <col min="8201" max="8448" width="11.42578125" style="388"/>
    <col min="8449" max="8449" width="38.140625" style="388" customWidth="1"/>
    <col min="8450" max="8451" width="12.7109375" style="388" customWidth="1"/>
    <col min="8452" max="8452" width="13.28515625" style="388" customWidth="1"/>
    <col min="8453" max="8456" width="12.7109375" style="388" customWidth="1"/>
    <col min="8457" max="8704" width="11.42578125" style="388"/>
    <col min="8705" max="8705" width="38.140625" style="388" customWidth="1"/>
    <col min="8706" max="8707" width="12.7109375" style="388" customWidth="1"/>
    <col min="8708" max="8708" width="13.28515625" style="388" customWidth="1"/>
    <col min="8709" max="8712" width="12.7109375" style="388" customWidth="1"/>
    <col min="8713" max="8960" width="11.42578125" style="388"/>
    <col min="8961" max="8961" width="38.140625" style="388" customWidth="1"/>
    <col min="8962" max="8963" width="12.7109375" style="388" customWidth="1"/>
    <col min="8964" max="8964" width="13.28515625" style="388" customWidth="1"/>
    <col min="8965" max="8968" width="12.7109375" style="388" customWidth="1"/>
    <col min="8969" max="9216" width="11.42578125" style="388"/>
    <col min="9217" max="9217" width="38.140625" style="388" customWidth="1"/>
    <col min="9218" max="9219" width="12.7109375" style="388" customWidth="1"/>
    <col min="9220" max="9220" width="13.28515625" style="388" customWidth="1"/>
    <col min="9221" max="9224" width="12.7109375" style="388" customWidth="1"/>
    <col min="9225" max="9472" width="11.42578125" style="388"/>
    <col min="9473" max="9473" width="38.140625" style="388" customWidth="1"/>
    <col min="9474" max="9475" width="12.7109375" style="388" customWidth="1"/>
    <col min="9476" max="9476" width="13.28515625" style="388" customWidth="1"/>
    <col min="9477" max="9480" width="12.7109375" style="388" customWidth="1"/>
    <col min="9481" max="9728" width="11.42578125" style="388"/>
    <col min="9729" max="9729" width="38.140625" style="388" customWidth="1"/>
    <col min="9730" max="9731" width="12.7109375" style="388" customWidth="1"/>
    <col min="9732" max="9732" width="13.28515625" style="388" customWidth="1"/>
    <col min="9733" max="9736" width="12.7109375" style="388" customWidth="1"/>
    <col min="9737" max="9984" width="11.42578125" style="388"/>
    <col min="9985" max="9985" width="38.140625" style="388" customWidth="1"/>
    <col min="9986" max="9987" width="12.7109375" style="388" customWidth="1"/>
    <col min="9988" max="9988" width="13.28515625" style="388" customWidth="1"/>
    <col min="9989" max="9992" width="12.7109375" style="388" customWidth="1"/>
    <col min="9993" max="10240" width="11.42578125" style="388"/>
    <col min="10241" max="10241" width="38.140625" style="388" customWidth="1"/>
    <col min="10242" max="10243" width="12.7109375" style="388" customWidth="1"/>
    <col min="10244" max="10244" width="13.28515625" style="388" customWidth="1"/>
    <col min="10245" max="10248" width="12.7109375" style="388" customWidth="1"/>
    <col min="10249" max="10496" width="11.42578125" style="388"/>
    <col min="10497" max="10497" width="38.140625" style="388" customWidth="1"/>
    <col min="10498" max="10499" width="12.7109375" style="388" customWidth="1"/>
    <col min="10500" max="10500" width="13.28515625" style="388" customWidth="1"/>
    <col min="10501" max="10504" width="12.7109375" style="388" customWidth="1"/>
    <col min="10505" max="10752" width="11.42578125" style="388"/>
    <col min="10753" max="10753" width="38.140625" style="388" customWidth="1"/>
    <col min="10754" max="10755" width="12.7109375" style="388" customWidth="1"/>
    <col min="10756" max="10756" width="13.28515625" style="388" customWidth="1"/>
    <col min="10757" max="10760" width="12.7109375" style="388" customWidth="1"/>
    <col min="10761" max="11008" width="11.42578125" style="388"/>
    <col min="11009" max="11009" width="38.140625" style="388" customWidth="1"/>
    <col min="11010" max="11011" width="12.7109375" style="388" customWidth="1"/>
    <col min="11012" max="11012" width="13.28515625" style="388" customWidth="1"/>
    <col min="11013" max="11016" width="12.7109375" style="388" customWidth="1"/>
    <col min="11017" max="11264" width="11.42578125" style="388"/>
    <col min="11265" max="11265" width="38.140625" style="388" customWidth="1"/>
    <col min="11266" max="11267" width="12.7109375" style="388" customWidth="1"/>
    <col min="11268" max="11268" width="13.28515625" style="388" customWidth="1"/>
    <col min="11269" max="11272" width="12.7109375" style="388" customWidth="1"/>
    <col min="11273" max="11520" width="11.42578125" style="388"/>
    <col min="11521" max="11521" width="38.140625" style="388" customWidth="1"/>
    <col min="11522" max="11523" width="12.7109375" style="388" customWidth="1"/>
    <col min="11524" max="11524" width="13.28515625" style="388" customWidth="1"/>
    <col min="11525" max="11528" width="12.7109375" style="388" customWidth="1"/>
    <col min="11529" max="11776" width="11.42578125" style="388"/>
    <col min="11777" max="11777" width="38.140625" style="388" customWidth="1"/>
    <col min="11778" max="11779" width="12.7109375" style="388" customWidth="1"/>
    <col min="11780" max="11780" width="13.28515625" style="388" customWidth="1"/>
    <col min="11781" max="11784" width="12.7109375" style="388" customWidth="1"/>
    <col min="11785" max="12032" width="11.42578125" style="388"/>
    <col min="12033" max="12033" width="38.140625" style="388" customWidth="1"/>
    <col min="12034" max="12035" width="12.7109375" style="388" customWidth="1"/>
    <col min="12036" max="12036" width="13.28515625" style="388" customWidth="1"/>
    <col min="12037" max="12040" width="12.7109375" style="388" customWidth="1"/>
    <col min="12041" max="12288" width="11.42578125" style="388"/>
    <col min="12289" max="12289" width="38.140625" style="388" customWidth="1"/>
    <col min="12290" max="12291" width="12.7109375" style="388" customWidth="1"/>
    <col min="12292" max="12292" width="13.28515625" style="388" customWidth="1"/>
    <col min="12293" max="12296" width="12.7109375" style="388" customWidth="1"/>
    <col min="12297" max="12544" width="11.42578125" style="388"/>
    <col min="12545" max="12545" width="38.140625" style="388" customWidth="1"/>
    <col min="12546" max="12547" width="12.7109375" style="388" customWidth="1"/>
    <col min="12548" max="12548" width="13.28515625" style="388" customWidth="1"/>
    <col min="12549" max="12552" width="12.7109375" style="388" customWidth="1"/>
    <col min="12553" max="12800" width="11.42578125" style="388"/>
    <col min="12801" max="12801" width="38.140625" style="388" customWidth="1"/>
    <col min="12802" max="12803" width="12.7109375" style="388" customWidth="1"/>
    <col min="12804" max="12804" width="13.28515625" style="388" customWidth="1"/>
    <col min="12805" max="12808" width="12.7109375" style="388" customWidth="1"/>
    <col min="12809" max="13056" width="11.42578125" style="388"/>
    <col min="13057" max="13057" width="38.140625" style="388" customWidth="1"/>
    <col min="13058" max="13059" width="12.7109375" style="388" customWidth="1"/>
    <col min="13060" max="13060" width="13.28515625" style="388" customWidth="1"/>
    <col min="13061" max="13064" width="12.7109375" style="388" customWidth="1"/>
    <col min="13065" max="13312" width="11.42578125" style="388"/>
    <col min="13313" max="13313" width="38.140625" style="388" customWidth="1"/>
    <col min="13314" max="13315" width="12.7109375" style="388" customWidth="1"/>
    <col min="13316" max="13316" width="13.28515625" style="388" customWidth="1"/>
    <col min="13317" max="13320" width="12.7109375" style="388" customWidth="1"/>
    <col min="13321" max="13568" width="11.42578125" style="388"/>
    <col min="13569" max="13569" width="38.140625" style="388" customWidth="1"/>
    <col min="13570" max="13571" width="12.7109375" style="388" customWidth="1"/>
    <col min="13572" max="13572" width="13.28515625" style="388" customWidth="1"/>
    <col min="13573" max="13576" width="12.7109375" style="388" customWidth="1"/>
    <col min="13577" max="13824" width="11.42578125" style="388"/>
    <col min="13825" max="13825" width="38.140625" style="388" customWidth="1"/>
    <col min="13826" max="13827" width="12.7109375" style="388" customWidth="1"/>
    <col min="13828" max="13828" width="13.28515625" style="388" customWidth="1"/>
    <col min="13829" max="13832" width="12.7109375" style="388" customWidth="1"/>
    <col min="13833" max="14080" width="11.42578125" style="388"/>
    <col min="14081" max="14081" width="38.140625" style="388" customWidth="1"/>
    <col min="14082" max="14083" width="12.7109375" style="388" customWidth="1"/>
    <col min="14084" max="14084" width="13.28515625" style="388" customWidth="1"/>
    <col min="14085" max="14088" width="12.7109375" style="388" customWidth="1"/>
    <col min="14089" max="14336" width="11.42578125" style="388"/>
    <col min="14337" max="14337" width="38.140625" style="388" customWidth="1"/>
    <col min="14338" max="14339" width="12.7109375" style="388" customWidth="1"/>
    <col min="14340" max="14340" width="13.28515625" style="388" customWidth="1"/>
    <col min="14341" max="14344" width="12.7109375" style="388" customWidth="1"/>
    <col min="14345" max="14592" width="11.42578125" style="388"/>
    <col min="14593" max="14593" width="38.140625" style="388" customWidth="1"/>
    <col min="14594" max="14595" width="12.7109375" style="388" customWidth="1"/>
    <col min="14596" max="14596" width="13.28515625" style="388" customWidth="1"/>
    <col min="14597" max="14600" width="12.7109375" style="388" customWidth="1"/>
    <col min="14601" max="14848" width="11.42578125" style="388"/>
    <col min="14849" max="14849" width="38.140625" style="388" customWidth="1"/>
    <col min="14850" max="14851" width="12.7109375" style="388" customWidth="1"/>
    <col min="14852" max="14852" width="13.28515625" style="388" customWidth="1"/>
    <col min="14853" max="14856" width="12.7109375" style="388" customWidth="1"/>
    <col min="14857" max="15104" width="11.42578125" style="388"/>
    <col min="15105" max="15105" width="38.140625" style="388" customWidth="1"/>
    <col min="15106" max="15107" width="12.7109375" style="388" customWidth="1"/>
    <col min="15108" max="15108" width="13.28515625" style="388" customWidth="1"/>
    <col min="15109" max="15112" width="12.7109375" style="388" customWidth="1"/>
    <col min="15113" max="15360" width="11.42578125" style="388"/>
    <col min="15361" max="15361" width="38.140625" style="388" customWidth="1"/>
    <col min="15362" max="15363" width="12.7109375" style="388" customWidth="1"/>
    <col min="15364" max="15364" width="13.28515625" style="388" customWidth="1"/>
    <col min="15365" max="15368" width="12.7109375" style="388" customWidth="1"/>
    <col min="15369" max="15616" width="11.42578125" style="388"/>
    <col min="15617" max="15617" width="38.140625" style="388" customWidth="1"/>
    <col min="15618" max="15619" width="12.7109375" style="388" customWidth="1"/>
    <col min="15620" max="15620" width="13.28515625" style="388" customWidth="1"/>
    <col min="15621" max="15624" width="12.7109375" style="388" customWidth="1"/>
    <col min="15625" max="15872" width="11.42578125" style="388"/>
    <col min="15873" max="15873" width="38.140625" style="388" customWidth="1"/>
    <col min="15874" max="15875" width="12.7109375" style="388" customWidth="1"/>
    <col min="15876" max="15876" width="13.28515625" style="388" customWidth="1"/>
    <col min="15877" max="15880" width="12.7109375" style="388" customWidth="1"/>
    <col min="15881" max="16128" width="11.42578125" style="388"/>
    <col min="16129" max="16129" width="38.140625" style="388" customWidth="1"/>
    <col min="16130" max="16131" width="12.7109375" style="388" customWidth="1"/>
    <col min="16132" max="16132" width="13.28515625" style="388" customWidth="1"/>
    <col min="16133" max="16136" width="12.7109375" style="388" customWidth="1"/>
    <col min="16137" max="16384" width="11.42578125" style="388"/>
  </cols>
  <sheetData>
    <row r="1" spans="1:10" ht="18">
      <c r="A1" s="550" t="s">
        <v>0</v>
      </c>
      <c r="B1" s="550"/>
      <c r="C1" s="550"/>
      <c r="D1" s="550"/>
      <c r="E1" s="550"/>
      <c r="F1" s="550"/>
      <c r="G1" s="550"/>
      <c r="H1" s="550"/>
    </row>
    <row r="2" spans="1:10">
      <c r="A2" s="551" t="s">
        <v>2579</v>
      </c>
      <c r="B2" s="551"/>
      <c r="C2" s="551"/>
      <c r="D2" s="551"/>
      <c r="E2" s="551"/>
      <c r="F2" s="551"/>
      <c r="G2" s="551"/>
      <c r="H2" s="551"/>
    </row>
    <row r="3" spans="1:10">
      <c r="A3" s="551" t="s">
        <v>2580</v>
      </c>
      <c r="B3" s="551"/>
      <c r="C3" s="551"/>
      <c r="D3" s="551"/>
      <c r="E3" s="551"/>
      <c r="F3" s="551"/>
      <c r="G3" s="551"/>
      <c r="H3" s="551"/>
    </row>
    <row r="4" spans="1:10">
      <c r="B4" s="388"/>
      <c r="C4" s="388"/>
      <c r="D4" s="388"/>
      <c r="E4" s="388"/>
      <c r="G4" s="388"/>
      <c r="H4" s="388"/>
    </row>
    <row r="5" spans="1:10">
      <c r="A5" s="389" t="s">
        <v>2581</v>
      </c>
      <c r="B5" s="390">
        <v>18554</v>
      </c>
      <c r="C5" s="391"/>
      <c r="D5" s="388"/>
      <c r="E5" s="388"/>
      <c r="G5" s="388"/>
      <c r="H5" s="388"/>
    </row>
    <row r="6" spans="1:10">
      <c r="A6" s="389" t="s">
        <v>57</v>
      </c>
      <c r="B6" s="392">
        <v>41555</v>
      </c>
      <c r="C6" s="391"/>
      <c r="D6" s="388"/>
      <c r="E6" s="388"/>
      <c r="G6" s="388"/>
      <c r="H6" s="388"/>
    </row>
    <row r="7" spans="1:10">
      <c r="A7" s="389" t="s">
        <v>2582</v>
      </c>
      <c r="B7" s="479" t="s">
        <v>2751</v>
      </c>
      <c r="C7" s="388"/>
      <c r="D7" s="388"/>
      <c r="E7" s="388"/>
      <c r="G7" s="388"/>
      <c r="H7" s="388"/>
    </row>
    <row r="8" spans="1:10">
      <c r="A8" s="389" t="s">
        <v>2583</v>
      </c>
      <c r="B8" s="388" t="s">
        <v>2584</v>
      </c>
      <c r="C8" s="388"/>
      <c r="D8" s="388"/>
      <c r="E8" s="388"/>
      <c r="G8" s="388"/>
      <c r="H8" s="388"/>
    </row>
    <row r="9" spans="1:10">
      <c r="B9" s="388"/>
      <c r="C9" s="388"/>
      <c r="D9" s="388"/>
      <c r="E9" s="388"/>
      <c r="G9" s="388"/>
      <c r="H9" s="388"/>
    </row>
    <row r="10" spans="1:10" s="398" customFormat="1" ht="25.5">
      <c r="A10" s="393" t="s">
        <v>5</v>
      </c>
      <c r="B10" s="394" t="s">
        <v>2585</v>
      </c>
      <c r="C10" s="394" t="s">
        <v>2586</v>
      </c>
      <c r="D10" s="394" t="s">
        <v>2587</v>
      </c>
      <c r="E10" s="394" t="s">
        <v>2588</v>
      </c>
      <c r="F10" s="395" t="s">
        <v>51</v>
      </c>
      <c r="G10" s="396" t="s">
        <v>2589</v>
      </c>
      <c r="H10" s="397" t="s">
        <v>2590</v>
      </c>
    </row>
    <row r="11" spans="1:10" s="399" customFormat="1">
      <c r="A11" s="399" t="s">
        <v>2591</v>
      </c>
      <c r="H11" s="400"/>
    </row>
    <row r="12" spans="1:10">
      <c r="A12" s="388" t="s">
        <v>2592</v>
      </c>
      <c r="B12" s="401">
        <v>8600</v>
      </c>
      <c r="C12" s="401">
        <v>0</v>
      </c>
      <c r="D12" s="401">
        <f>B12-C12</f>
        <v>8600</v>
      </c>
      <c r="E12" s="401">
        <f>D12*18%</f>
        <v>1548</v>
      </c>
      <c r="F12" s="401">
        <f>D12+E12</f>
        <v>10148</v>
      </c>
      <c r="G12" s="402">
        <f>G23</f>
        <v>0.20987654320987653</v>
      </c>
      <c r="H12" s="403">
        <f>(F12*G12)+F12</f>
        <v>12277.827160493827</v>
      </c>
    </row>
    <row r="13" spans="1:10">
      <c r="A13" s="388" t="s">
        <v>2593</v>
      </c>
      <c r="B13" s="401">
        <v>7600</v>
      </c>
      <c r="C13" s="401">
        <v>0</v>
      </c>
      <c r="D13" s="401">
        <f>B13-C13</f>
        <v>7600</v>
      </c>
      <c r="E13" s="401">
        <f>D13*18%</f>
        <v>1368</v>
      </c>
      <c r="F13" s="401">
        <f>D13+E13</f>
        <v>8968</v>
      </c>
      <c r="G13" s="402">
        <f>G12</f>
        <v>0.20987654320987653</v>
      </c>
      <c r="H13" s="403">
        <f>(F13*G13)+F13</f>
        <v>10850.172839506173</v>
      </c>
    </row>
    <row r="14" spans="1:10">
      <c r="B14" s="404">
        <f>SUM(B12:B13)</f>
        <v>16200</v>
      </c>
      <c r="C14" s="404">
        <f>SUM(C12:C13)</f>
        <v>0</v>
      </c>
      <c r="D14" s="404">
        <f>SUM(D12:D13)</f>
        <v>16200</v>
      </c>
      <c r="E14" s="404">
        <f>SUM(E12:E13)</f>
        <v>2916</v>
      </c>
      <c r="F14" s="404">
        <f>SUM(F12:F13)</f>
        <v>19116</v>
      </c>
      <c r="G14" s="404"/>
      <c r="H14" s="405">
        <f>SUM(H12:H13)</f>
        <v>23128</v>
      </c>
      <c r="I14" s="401"/>
      <c r="J14" s="480">
        <f>H12/2</f>
        <v>6138.9135802469136</v>
      </c>
    </row>
    <row r="15" spans="1:10">
      <c r="B15" s="406"/>
      <c r="C15" s="406"/>
      <c r="D15" s="406"/>
      <c r="E15" s="406"/>
      <c r="F15" s="406"/>
      <c r="G15" s="406"/>
      <c r="H15" s="407"/>
      <c r="J15" s="480">
        <f>H13/4</f>
        <v>2712.5432098765432</v>
      </c>
    </row>
    <row r="16" spans="1:10" s="399" customFormat="1">
      <c r="A16" s="399" t="s">
        <v>2594</v>
      </c>
      <c r="B16" s="408"/>
      <c r="C16" s="408"/>
      <c r="D16" s="408"/>
      <c r="E16" s="408"/>
      <c r="F16" s="408"/>
      <c r="G16" s="409"/>
      <c r="H16" s="410"/>
    </row>
    <row r="17" spans="1:10">
      <c r="A17" s="388" t="s">
        <v>2595</v>
      </c>
      <c r="B17" s="401">
        <v>3400</v>
      </c>
      <c r="C17" s="401">
        <v>0</v>
      </c>
      <c r="D17" s="401">
        <f>B17-C17</f>
        <v>3400</v>
      </c>
      <c r="E17" s="401">
        <f>D17*18%</f>
        <v>612</v>
      </c>
      <c r="F17" s="401">
        <f>D17+E17</f>
        <v>4012</v>
      </c>
      <c r="G17" s="402">
        <v>0</v>
      </c>
      <c r="H17" s="403">
        <f>F17*G17</f>
        <v>0</v>
      </c>
    </row>
    <row r="18" spans="1:10">
      <c r="A18" s="388" t="s">
        <v>2596</v>
      </c>
      <c r="B18" s="401">
        <v>0</v>
      </c>
      <c r="C18" s="401">
        <v>0</v>
      </c>
      <c r="D18" s="401">
        <f>B18-C18</f>
        <v>0</v>
      </c>
      <c r="E18" s="401">
        <f>D18*16%</f>
        <v>0</v>
      </c>
      <c r="F18" s="401">
        <f>(D18+E18)</f>
        <v>0</v>
      </c>
      <c r="G18" s="402">
        <v>0</v>
      </c>
      <c r="H18" s="403">
        <f>F18*G18</f>
        <v>0</v>
      </c>
    </row>
    <row r="19" spans="1:10">
      <c r="B19" s="404">
        <f>SUM(B17:B18)</f>
        <v>3400</v>
      </c>
      <c r="C19" s="404">
        <f>SUM(C17:C18)</f>
        <v>0</v>
      </c>
      <c r="D19" s="404">
        <f>SUM(D17:D18)</f>
        <v>3400</v>
      </c>
      <c r="E19" s="404">
        <f>SUM(E17:E18)</f>
        <v>612</v>
      </c>
      <c r="F19" s="404">
        <f>SUM(F17:F18)</f>
        <v>4012</v>
      </c>
      <c r="G19" s="404"/>
      <c r="H19" s="405">
        <f>SUM(H17:H18)</f>
        <v>0</v>
      </c>
      <c r="J19" s="401"/>
    </row>
    <row r="20" spans="1:10">
      <c r="F20" s="401"/>
    </row>
    <row r="21" spans="1:10" ht="13.5" thickBot="1">
      <c r="B21" s="411">
        <f>SUM(B19,B14)</f>
        <v>19600</v>
      </c>
      <c r="C21" s="411">
        <f>SUM(C19,C14)</f>
        <v>0</v>
      </c>
      <c r="D21" s="411">
        <f>SUM(D19,D14)</f>
        <v>19600</v>
      </c>
      <c r="E21" s="411">
        <f>SUM(E19,E14)</f>
        <v>3528</v>
      </c>
      <c r="F21" s="411">
        <f>SUM(F19,F14)</f>
        <v>23128</v>
      </c>
      <c r="G21" s="411"/>
      <c r="H21" s="412">
        <f>SUM(H19,H14)</f>
        <v>23128</v>
      </c>
    </row>
    <row r="22" spans="1:10" ht="13.5" thickTop="1"/>
    <row r="23" spans="1:10" s="413" customFormat="1">
      <c r="A23" s="413" t="s">
        <v>2597</v>
      </c>
      <c r="B23" s="414"/>
      <c r="C23" s="414"/>
      <c r="D23" s="414"/>
      <c r="E23" s="414"/>
      <c r="F23" s="415"/>
      <c r="G23" s="402">
        <f>F19/F14</f>
        <v>0.20987654320987653</v>
      </c>
      <c r="H23" s="416"/>
    </row>
  </sheetData>
  <mergeCells count="3">
    <mergeCell ref="A1:H1"/>
    <mergeCell ref="A2:H2"/>
    <mergeCell ref="A3:H3"/>
  </mergeCells>
  <printOptions horizontalCentered="1"/>
  <pageMargins left="0.78740157480314965" right="0.78740157480314965" top="0.98425196850393704" bottom="0.98425196850393704" header="0" footer="0"/>
  <pageSetup scale="95" orientation="landscape" r:id="rId1"/>
  <headerFooter alignWithMargins="0"/>
  <legacyDrawing r:id="rId2"/>
  <oleObjects>
    <oleObject progId="Word.Document.8" shapeId="1025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J33"/>
  <sheetViews>
    <sheetView zoomScaleNormal="100" workbookViewId="0">
      <selection activeCell="F26" sqref="F26"/>
    </sheetView>
  </sheetViews>
  <sheetFormatPr baseColWidth="10" defaultRowHeight="12.75"/>
  <cols>
    <col min="1" max="1" width="38.140625" style="388" customWidth="1"/>
    <col min="2" max="3" width="12.7109375" style="401" customWidth="1"/>
    <col min="4" max="4" width="13.28515625" style="401" customWidth="1"/>
    <col min="5" max="5" width="12.7109375" style="401" customWidth="1"/>
    <col min="6" max="6" width="12.7109375" style="388" customWidth="1"/>
    <col min="7" max="7" width="12.7109375" style="402" customWidth="1"/>
    <col min="8" max="8" width="12.7109375" style="403" customWidth="1"/>
    <col min="9" max="256" width="11.42578125" style="388"/>
    <col min="257" max="257" width="38.140625" style="388" customWidth="1"/>
    <col min="258" max="259" width="12.7109375" style="388" customWidth="1"/>
    <col min="260" max="260" width="13.28515625" style="388" customWidth="1"/>
    <col min="261" max="264" width="12.7109375" style="388" customWidth="1"/>
    <col min="265" max="512" width="11.42578125" style="388"/>
    <col min="513" max="513" width="38.140625" style="388" customWidth="1"/>
    <col min="514" max="515" width="12.7109375" style="388" customWidth="1"/>
    <col min="516" max="516" width="13.28515625" style="388" customWidth="1"/>
    <col min="517" max="520" width="12.7109375" style="388" customWidth="1"/>
    <col min="521" max="768" width="11.42578125" style="388"/>
    <col min="769" max="769" width="38.140625" style="388" customWidth="1"/>
    <col min="770" max="771" width="12.7109375" style="388" customWidth="1"/>
    <col min="772" max="772" width="13.28515625" style="388" customWidth="1"/>
    <col min="773" max="776" width="12.7109375" style="388" customWidth="1"/>
    <col min="777" max="1024" width="11.42578125" style="388"/>
    <col min="1025" max="1025" width="38.140625" style="388" customWidth="1"/>
    <col min="1026" max="1027" width="12.7109375" style="388" customWidth="1"/>
    <col min="1028" max="1028" width="13.28515625" style="388" customWidth="1"/>
    <col min="1029" max="1032" width="12.7109375" style="388" customWidth="1"/>
    <col min="1033" max="1280" width="11.42578125" style="388"/>
    <col min="1281" max="1281" width="38.140625" style="388" customWidth="1"/>
    <col min="1282" max="1283" width="12.7109375" style="388" customWidth="1"/>
    <col min="1284" max="1284" width="13.28515625" style="388" customWidth="1"/>
    <col min="1285" max="1288" width="12.7109375" style="388" customWidth="1"/>
    <col min="1289" max="1536" width="11.42578125" style="388"/>
    <col min="1537" max="1537" width="38.140625" style="388" customWidth="1"/>
    <col min="1538" max="1539" width="12.7109375" style="388" customWidth="1"/>
    <col min="1540" max="1540" width="13.28515625" style="388" customWidth="1"/>
    <col min="1541" max="1544" width="12.7109375" style="388" customWidth="1"/>
    <col min="1545" max="1792" width="11.42578125" style="388"/>
    <col min="1793" max="1793" width="38.140625" style="388" customWidth="1"/>
    <col min="1794" max="1795" width="12.7109375" style="388" customWidth="1"/>
    <col min="1796" max="1796" width="13.28515625" style="388" customWidth="1"/>
    <col min="1797" max="1800" width="12.7109375" style="388" customWidth="1"/>
    <col min="1801" max="2048" width="11.42578125" style="388"/>
    <col min="2049" max="2049" width="38.140625" style="388" customWidth="1"/>
    <col min="2050" max="2051" width="12.7109375" style="388" customWidth="1"/>
    <col min="2052" max="2052" width="13.28515625" style="388" customWidth="1"/>
    <col min="2053" max="2056" width="12.7109375" style="388" customWidth="1"/>
    <col min="2057" max="2304" width="11.42578125" style="388"/>
    <col min="2305" max="2305" width="38.140625" style="388" customWidth="1"/>
    <col min="2306" max="2307" width="12.7109375" style="388" customWidth="1"/>
    <col min="2308" max="2308" width="13.28515625" style="388" customWidth="1"/>
    <col min="2309" max="2312" width="12.7109375" style="388" customWidth="1"/>
    <col min="2313" max="2560" width="11.42578125" style="388"/>
    <col min="2561" max="2561" width="38.140625" style="388" customWidth="1"/>
    <col min="2562" max="2563" width="12.7109375" style="388" customWidth="1"/>
    <col min="2564" max="2564" width="13.28515625" style="388" customWidth="1"/>
    <col min="2565" max="2568" width="12.7109375" style="388" customWidth="1"/>
    <col min="2569" max="2816" width="11.42578125" style="388"/>
    <col min="2817" max="2817" width="38.140625" style="388" customWidth="1"/>
    <col min="2818" max="2819" width="12.7109375" style="388" customWidth="1"/>
    <col min="2820" max="2820" width="13.28515625" style="388" customWidth="1"/>
    <col min="2821" max="2824" width="12.7109375" style="388" customWidth="1"/>
    <col min="2825" max="3072" width="11.42578125" style="388"/>
    <col min="3073" max="3073" width="38.140625" style="388" customWidth="1"/>
    <col min="3074" max="3075" width="12.7109375" style="388" customWidth="1"/>
    <col min="3076" max="3076" width="13.28515625" style="388" customWidth="1"/>
    <col min="3077" max="3080" width="12.7109375" style="388" customWidth="1"/>
    <col min="3081" max="3328" width="11.42578125" style="388"/>
    <col min="3329" max="3329" width="38.140625" style="388" customWidth="1"/>
    <col min="3330" max="3331" width="12.7109375" style="388" customWidth="1"/>
    <col min="3332" max="3332" width="13.28515625" style="388" customWidth="1"/>
    <col min="3333" max="3336" width="12.7109375" style="388" customWidth="1"/>
    <col min="3337" max="3584" width="11.42578125" style="388"/>
    <col min="3585" max="3585" width="38.140625" style="388" customWidth="1"/>
    <col min="3586" max="3587" width="12.7109375" style="388" customWidth="1"/>
    <col min="3588" max="3588" width="13.28515625" style="388" customWidth="1"/>
    <col min="3589" max="3592" width="12.7109375" style="388" customWidth="1"/>
    <col min="3593" max="3840" width="11.42578125" style="388"/>
    <col min="3841" max="3841" width="38.140625" style="388" customWidth="1"/>
    <col min="3842" max="3843" width="12.7109375" style="388" customWidth="1"/>
    <col min="3844" max="3844" width="13.28515625" style="388" customWidth="1"/>
    <col min="3845" max="3848" width="12.7109375" style="388" customWidth="1"/>
    <col min="3849" max="4096" width="11.42578125" style="388"/>
    <col min="4097" max="4097" width="38.140625" style="388" customWidth="1"/>
    <col min="4098" max="4099" width="12.7109375" style="388" customWidth="1"/>
    <col min="4100" max="4100" width="13.28515625" style="388" customWidth="1"/>
    <col min="4101" max="4104" width="12.7109375" style="388" customWidth="1"/>
    <col min="4105" max="4352" width="11.42578125" style="388"/>
    <col min="4353" max="4353" width="38.140625" style="388" customWidth="1"/>
    <col min="4354" max="4355" width="12.7109375" style="388" customWidth="1"/>
    <col min="4356" max="4356" width="13.28515625" style="388" customWidth="1"/>
    <col min="4357" max="4360" width="12.7109375" style="388" customWidth="1"/>
    <col min="4361" max="4608" width="11.42578125" style="388"/>
    <col min="4609" max="4609" width="38.140625" style="388" customWidth="1"/>
    <col min="4610" max="4611" width="12.7109375" style="388" customWidth="1"/>
    <col min="4612" max="4612" width="13.28515625" style="388" customWidth="1"/>
    <col min="4613" max="4616" width="12.7109375" style="388" customWidth="1"/>
    <col min="4617" max="4864" width="11.42578125" style="388"/>
    <col min="4865" max="4865" width="38.140625" style="388" customWidth="1"/>
    <col min="4866" max="4867" width="12.7109375" style="388" customWidth="1"/>
    <col min="4868" max="4868" width="13.28515625" style="388" customWidth="1"/>
    <col min="4869" max="4872" width="12.7109375" style="388" customWidth="1"/>
    <col min="4873" max="5120" width="11.42578125" style="388"/>
    <col min="5121" max="5121" width="38.140625" style="388" customWidth="1"/>
    <col min="5122" max="5123" width="12.7109375" style="388" customWidth="1"/>
    <col min="5124" max="5124" width="13.28515625" style="388" customWidth="1"/>
    <col min="5125" max="5128" width="12.7109375" style="388" customWidth="1"/>
    <col min="5129" max="5376" width="11.42578125" style="388"/>
    <col min="5377" max="5377" width="38.140625" style="388" customWidth="1"/>
    <col min="5378" max="5379" width="12.7109375" style="388" customWidth="1"/>
    <col min="5380" max="5380" width="13.28515625" style="388" customWidth="1"/>
    <col min="5381" max="5384" width="12.7109375" style="388" customWidth="1"/>
    <col min="5385" max="5632" width="11.42578125" style="388"/>
    <col min="5633" max="5633" width="38.140625" style="388" customWidth="1"/>
    <col min="5634" max="5635" width="12.7109375" style="388" customWidth="1"/>
    <col min="5636" max="5636" width="13.28515625" style="388" customWidth="1"/>
    <col min="5637" max="5640" width="12.7109375" style="388" customWidth="1"/>
    <col min="5641" max="5888" width="11.42578125" style="388"/>
    <col min="5889" max="5889" width="38.140625" style="388" customWidth="1"/>
    <col min="5890" max="5891" width="12.7109375" style="388" customWidth="1"/>
    <col min="5892" max="5892" width="13.28515625" style="388" customWidth="1"/>
    <col min="5893" max="5896" width="12.7109375" style="388" customWidth="1"/>
    <col min="5897" max="6144" width="11.42578125" style="388"/>
    <col min="6145" max="6145" width="38.140625" style="388" customWidth="1"/>
    <col min="6146" max="6147" width="12.7109375" style="388" customWidth="1"/>
    <col min="6148" max="6148" width="13.28515625" style="388" customWidth="1"/>
    <col min="6149" max="6152" width="12.7109375" style="388" customWidth="1"/>
    <col min="6153" max="6400" width="11.42578125" style="388"/>
    <col min="6401" max="6401" width="38.140625" style="388" customWidth="1"/>
    <col min="6402" max="6403" width="12.7109375" style="388" customWidth="1"/>
    <col min="6404" max="6404" width="13.28515625" style="388" customWidth="1"/>
    <col min="6405" max="6408" width="12.7109375" style="388" customWidth="1"/>
    <col min="6409" max="6656" width="11.42578125" style="388"/>
    <col min="6657" max="6657" width="38.140625" style="388" customWidth="1"/>
    <col min="6658" max="6659" width="12.7109375" style="388" customWidth="1"/>
    <col min="6660" max="6660" width="13.28515625" style="388" customWidth="1"/>
    <col min="6661" max="6664" width="12.7109375" style="388" customWidth="1"/>
    <col min="6665" max="6912" width="11.42578125" style="388"/>
    <col min="6913" max="6913" width="38.140625" style="388" customWidth="1"/>
    <col min="6914" max="6915" width="12.7109375" style="388" customWidth="1"/>
    <col min="6916" max="6916" width="13.28515625" style="388" customWidth="1"/>
    <col min="6917" max="6920" width="12.7109375" style="388" customWidth="1"/>
    <col min="6921" max="7168" width="11.42578125" style="388"/>
    <col min="7169" max="7169" width="38.140625" style="388" customWidth="1"/>
    <col min="7170" max="7171" width="12.7109375" style="388" customWidth="1"/>
    <col min="7172" max="7172" width="13.28515625" style="388" customWidth="1"/>
    <col min="7173" max="7176" width="12.7109375" style="388" customWidth="1"/>
    <col min="7177" max="7424" width="11.42578125" style="388"/>
    <col min="7425" max="7425" width="38.140625" style="388" customWidth="1"/>
    <col min="7426" max="7427" width="12.7109375" style="388" customWidth="1"/>
    <col min="7428" max="7428" width="13.28515625" style="388" customWidth="1"/>
    <col min="7429" max="7432" width="12.7109375" style="388" customWidth="1"/>
    <col min="7433" max="7680" width="11.42578125" style="388"/>
    <col min="7681" max="7681" width="38.140625" style="388" customWidth="1"/>
    <col min="7682" max="7683" width="12.7109375" style="388" customWidth="1"/>
    <col min="7684" max="7684" width="13.28515625" style="388" customWidth="1"/>
    <col min="7685" max="7688" width="12.7109375" style="388" customWidth="1"/>
    <col min="7689" max="7936" width="11.42578125" style="388"/>
    <col min="7937" max="7937" width="38.140625" style="388" customWidth="1"/>
    <col min="7938" max="7939" width="12.7109375" style="388" customWidth="1"/>
    <col min="7940" max="7940" width="13.28515625" style="388" customWidth="1"/>
    <col min="7941" max="7944" width="12.7109375" style="388" customWidth="1"/>
    <col min="7945" max="8192" width="11.42578125" style="388"/>
    <col min="8193" max="8193" width="38.140625" style="388" customWidth="1"/>
    <col min="8194" max="8195" width="12.7109375" style="388" customWidth="1"/>
    <col min="8196" max="8196" width="13.28515625" style="388" customWidth="1"/>
    <col min="8197" max="8200" width="12.7109375" style="388" customWidth="1"/>
    <col min="8201" max="8448" width="11.42578125" style="388"/>
    <col min="8449" max="8449" width="38.140625" style="388" customWidth="1"/>
    <col min="8450" max="8451" width="12.7109375" style="388" customWidth="1"/>
    <col min="8452" max="8452" width="13.28515625" style="388" customWidth="1"/>
    <col min="8453" max="8456" width="12.7109375" style="388" customWidth="1"/>
    <col min="8457" max="8704" width="11.42578125" style="388"/>
    <col min="8705" max="8705" width="38.140625" style="388" customWidth="1"/>
    <col min="8706" max="8707" width="12.7109375" style="388" customWidth="1"/>
    <col min="8708" max="8708" width="13.28515625" style="388" customWidth="1"/>
    <col min="8709" max="8712" width="12.7109375" style="388" customWidth="1"/>
    <col min="8713" max="8960" width="11.42578125" style="388"/>
    <col min="8961" max="8961" width="38.140625" style="388" customWidth="1"/>
    <col min="8962" max="8963" width="12.7109375" style="388" customWidth="1"/>
    <col min="8964" max="8964" width="13.28515625" style="388" customWidth="1"/>
    <col min="8965" max="8968" width="12.7109375" style="388" customWidth="1"/>
    <col min="8969" max="9216" width="11.42578125" style="388"/>
    <col min="9217" max="9217" width="38.140625" style="388" customWidth="1"/>
    <col min="9218" max="9219" width="12.7109375" style="388" customWidth="1"/>
    <col min="9220" max="9220" width="13.28515625" style="388" customWidth="1"/>
    <col min="9221" max="9224" width="12.7109375" style="388" customWidth="1"/>
    <col min="9225" max="9472" width="11.42578125" style="388"/>
    <col min="9473" max="9473" width="38.140625" style="388" customWidth="1"/>
    <col min="9474" max="9475" width="12.7109375" style="388" customWidth="1"/>
    <col min="9476" max="9476" width="13.28515625" style="388" customWidth="1"/>
    <col min="9477" max="9480" width="12.7109375" style="388" customWidth="1"/>
    <col min="9481" max="9728" width="11.42578125" style="388"/>
    <col min="9729" max="9729" width="38.140625" style="388" customWidth="1"/>
    <col min="9730" max="9731" width="12.7109375" style="388" customWidth="1"/>
    <col min="9732" max="9732" width="13.28515625" style="388" customWidth="1"/>
    <col min="9733" max="9736" width="12.7109375" style="388" customWidth="1"/>
    <col min="9737" max="9984" width="11.42578125" style="388"/>
    <col min="9985" max="9985" width="38.140625" style="388" customWidth="1"/>
    <col min="9986" max="9987" width="12.7109375" style="388" customWidth="1"/>
    <col min="9988" max="9988" width="13.28515625" style="388" customWidth="1"/>
    <col min="9989" max="9992" width="12.7109375" style="388" customWidth="1"/>
    <col min="9993" max="10240" width="11.42578125" style="388"/>
    <col min="10241" max="10241" width="38.140625" style="388" customWidth="1"/>
    <col min="10242" max="10243" width="12.7109375" style="388" customWidth="1"/>
    <col min="10244" max="10244" width="13.28515625" style="388" customWidth="1"/>
    <col min="10245" max="10248" width="12.7109375" style="388" customWidth="1"/>
    <col min="10249" max="10496" width="11.42578125" style="388"/>
    <col min="10497" max="10497" width="38.140625" style="388" customWidth="1"/>
    <col min="10498" max="10499" width="12.7109375" style="388" customWidth="1"/>
    <col min="10500" max="10500" width="13.28515625" style="388" customWidth="1"/>
    <col min="10501" max="10504" width="12.7109375" style="388" customWidth="1"/>
    <col min="10505" max="10752" width="11.42578125" style="388"/>
    <col min="10753" max="10753" width="38.140625" style="388" customWidth="1"/>
    <col min="10754" max="10755" width="12.7109375" style="388" customWidth="1"/>
    <col min="10756" max="10756" width="13.28515625" style="388" customWidth="1"/>
    <col min="10757" max="10760" width="12.7109375" style="388" customWidth="1"/>
    <col min="10761" max="11008" width="11.42578125" style="388"/>
    <col min="11009" max="11009" width="38.140625" style="388" customWidth="1"/>
    <col min="11010" max="11011" width="12.7109375" style="388" customWidth="1"/>
    <col min="11012" max="11012" width="13.28515625" style="388" customWidth="1"/>
    <col min="11013" max="11016" width="12.7109375" style="388" customWidth="1"/>
    <col min="11017" max="11264" width="11.42578125" style="388"/>
    <col min="11265" max="11265" width="38.140625" style="388" customWidth="1"/>
    <col min="11266" max="11267" width="12.7109375" style="388" customWidth="1"/>
    <col min="11268" max="11268" width="13.28515625" style="388" customWidth="1"/>
    <col min="11269" max="11272" width="12.7109375" style="388" customWidth="1"/>
    <col min="11273" max="11520" width="11.42578125" style="388"/>
    <col min="11521" max="11521" width="38.140625" style="388" customWidth="1"/>
    <col min="11522" max="11523" width="12.7109375" style="388" customWidth="1"/>
    <col min="11524" max="11524" width="13.28515625" style="388" customWidth="1"/>
    <col min="11525" max="11528" width="12.7109375" style="388" customWidth="1"/>
    <col min="11529" max="11776" width="11.42578125" style="388"/>
    <col min="11777" max="11777" width="38.140625" style="388" customWidth="1"/>
    <col min="11778" max="11779" width="12.7109375" style="388" customWidth="1"/>
    <col min="11780" max="11780" width="13.28515625" style="388" customWidth="1"/>
    <col min="11781" max="11784" width="12.7109375" style="388" customWidth="1"/>
    <col min="11785" max="12032" width="11.42578125" style="388"/>
    <col min="12033" max="12033" width="38.140625" style="388" customWidth="1"/>
    <col min="12034" max="12035" width="12.7109375" style="388" customWidth="1"/>
    <col min="12036" max="12036" width="13.28515625" style="388" customWidth="1"/>
    <col min="12037" max="12040" width="12.7109375" style="388" customWidth="1"/>
    <col min="12041" max="12288" width="11.42578125" style="388"/>
    <col min="12289" max="12289" width="38.140625" style="388" customWidth="1"/>
    <col min="12290" max="12291" width="12.7109375" style="388" customWidth="1"/>
    <col min="12292" max="12292" width="13.28515625" style="388" customWidth="1"/>
    <col min="12293" max="12296" width="12.7109375" style="388" customWidth="1"/>
    <col min="12297" max="12544" width="11.42578125" style="388"/>
    <col min="12545" max="12545" width="38.140625" style="388" customWidth="1"/>
    <col min="12546" max="12547" width="12.7109375" style="388" customWidth="1"/>
    <col min="12548" max="12548" width="13.28515625" style="388" customWidth="1"/>
    <col min="12549" max="12552" width="12.7109375" style="388" customWidth="1"/>
    <col min="12553" max="12800" width="11.42578125" style="388"/>
    <col min="12801" max="12801" width="38.140625" style="388" customWidth="1"/>
    <col min="12802" max="12803" width="12.7109375" style="388" customWidth="1"/>
    <col min="12804" max="12804" width="13.28515625" style="388" customWidth="1"/>
    <col min="12805" max="12808" width="12.7109375" style="388" customWidth="1"/>
    <col min="12809" max="13056" width="11.42578125" style="388"/>
    <col min="13057" max="13057" width="38.140625" style="388" customWidth="1"/>
    <col min="13058" max="13059" width="12.7109375" style="388" customWidth="1"/>
    <col min="13060" max="13060" width="13.28515625" style="388" customWidth="1"/>
    <col min="13061" max="13064" width="12.7109375" style="388" customWidth="1"/>
    <col min="13065" max="13312" width="11.42578125" style="388"/>
    <col min="13313" max="13313" width="38.140625" style="388" customWidth="1"/>
    <col min="13314" max="13315" width="12.7109375" style="388" customWidth="1"/>
    <col min="13316" max="13316" width="13.28515625" style="388" customWidth="1"/>
    <col min="13317" max="13320" width="12.7109375" style="388" customWidth="1"/>
    <col min="13321" max="13568" width="11.42578125" style="388"/>
    <col min="13569" max="13569" width="38.140625" style="388" customWidth="1"/>
    <col min="13570" max="13571" width="12.7109375" style="388" customWidth="1"/>
    <col min="13572" max="13572" width="13.28515625" style="388" customWidth="1"/>
    <col min="13573" max="13576" width="12.7109375" style="388" customWidth="1"/>
    <col min="13577" max="13824" width="11.42578125" style="388"/>
    <col min="13825" max="13825" width="38.140625" style="388" customWidth="1"/>
    <col min="13826" max="13827" width="12.7109375" style="388" customWidth="1"/>
    <col min="13828" max="13828" width="13.28515625" style="388" customWidth="1"/>
    <col min="13829" max="13832" width="12.7109375" style="388" customWidth="1"/>
    <col min="13833" max="14080" width="11.42578125" style="388"/>
    <col min="14081" max="14081" width="38.140625" style="388" customWidth="1"/>
    <col min="14082" max="14083" width="12.7109375" style="388" customWidth="1"/>
    <col min="14084" max="14084" width="13.28515625" style="388" customWidth="1"/>
    <col min="14085" max="14088" width="12.7109375" style="388" customWidth="1"/>
    <col min="14089" max="14336" width="11.42578125" style="388"/>
    <col min="14337" max="14337" width="38.140625" style="388" customWidth="1"/>
    <col min="14338" max="14339" width="12.7109375" style="388" customWidth="1"/>
    <col min="14340" max="14340" width="13.28515625" style="388" customWidth="1"/>
    <col min="14341" max="14344" width="12.7109375" style="388" customWidth="1"/>
    <col min="14345" max="14592" width="11.42578125" style="388"/>
    <col min="14593" max="14593" width="38.140625" style="388" customWidth="1"/>
    <col min="14594" max="14595" width="12.7109375" style="388" customWidth="1"/>
    <col min="14596" max="14596" width="13.28515625" style="388" customWidth="1"/>
    <col min="14597" max="14600" width="12.7109375" style="388" customWidth="1"/>
    <col min="14601" max="14848" width="11.42578125" style="388"/>
    <col min="14849" max="14849" width="38.140625" style="388" customWidth="1"/>
    <col min="14850" max="14851" width="12.7109375" style="388" customWidth="1"/>
    <col min="14852" max="14852" width="13.28515625" style="388" customWidth="1"/>
    <col min="14853" max="14856" width="12.7109375" style="388" customWidth="1"/>
    <col min="14857" max="15104" width="11.42578125" style="388"/>
    <col min="15105" max="15105" width="38.140625" style="388" customWidth="1"/>
    <col min="15106" max="15107" width="12.7109375" style="388" customWidth="1"/>
    <col min="15108" max="15108" width="13.28515625" style="388" customWidth="1"/>
    <col min="15109" max="15112" width="12.7109375" style="388" customWidth="1"/>
    <col min="15113" max="15360" width="11.42578125" style="388"/>
    <col min="15361" max="15361" width="38.140625" style="388" customWidth="1"/>
    <col min="15362" max="15363" width="12.7109375" style="388" customWidth="1"/>
    <col min="15364" max="15364" width="13.28515625" style="388" customWidth="1"/>
    <col min="15365" max="15368" width="12.7109375" style="388" customWidth="1"/>
    <col min="15369" max="15616" width="11.42578125" style="388"/>
    <col min="15617" max="15617" width="38.140625" style="388" customWidth="1"/>
    <col min="15618" max="15619" width="12.7109375" style="388" customWidth="1"/>
    <col min="15620" max="15620" width="13.28515625" style="388" customWidth="1"/>
    <col min="15621" max="15624" width="12.7109375" style="388" customWidth="1"/>
    <col min="15625" max="15872" width="11.42578125" style="388"/>
    <col min="15873" max="15873" width="38.140625" style="388" customWidth="1"/>
    <col min="15874" max="15875" width="12.7109375" style="388" customWidth="1"/>
    <col min="15876" max="15876" width="13.28515625" style="388" customWidth="1"/>
    <col min="15877" max="15880" width="12.7109375" style="388" customWidth="1"/>
    <col min="15881" max="16128" width="11.42578125" style="388"/>
    <col min="16129" max="16129" width="38.140625" style="388" customWidth="1"/>
    <col min="16130" max="16131" width="12.7109375" style="388" customWidth="1"/>
    <col min="16132" max="16132" width="13.28515625" style="388" customWidth="1"/>
    <col min="16133" max="16136" width="12.7109375" style="388" customWidth="1"/>
    <col min="16137" max="16384" width="11.42578125" style="388"/>
  </cols>
  <sheetData>
    <row r="1" spans="1:10" ht="18">
      <c r="A1" s="550" t="s">
        <v>0</v>
      </c>
      <c r="B1" s="550"/>
      <c r="C1" s="550"/>
      <c r="D1" s="550"/>
      <c r="E1" s="550"/>
      <c r="F1" s="550"/>
      <c r="G1" s="550"/>
      <c r="H1" s="550"/>
    </row>
    <row r="2" spans="1:10">
      <c r="A2" s="551" t="s">
        <v>2579</v>
      </c>
      <c r="B2" s="551"/>
      <c r="C2" s="551"/>
      <c r="D2" s="551"/>
      <c r="E2" s="551"/>
      <c r="F2" s="551"/>
      <c r="G2" s="551"/>
      <c r="H2" s="551"/>
    </row>
    <row r="3" spans="1:10">
      <c r="A3" s="551" t="s">
        <v>2580</v>
      </c>
      <c r="B3" s="551"/>
      <c r="C3" s="551"/>
      <c r="D3" s="551"/>
      <c r="E3" s="551"/>
      <c r="F3" s="551"/>
      <c r="G3" s="551"/>
      <c r="H3" s="551"/>
    </row>
    <row r="4" spans="1:10">
      <c r="B4" s="388"/>
      <c r="C4" s="388"/>
      <c r="D4" s="388"/>
      <c r="E4" s="388"/>
      <c r="G4" s="388"/>
      <c r="H4" s="388"/>
    </row>
    <row r="5" spans="1:10">
      <c r="A5" s="389" t="s">
        <v>2581</v>
      </c>
      <c r="B5" s="390">
        <v>18701</v>
      </c>
      <c r="C5" s="391"/>
      <c r="D5" s="388"/>
      <c r="E5" s="388"/>
      <c r="G5" s="388"/>
      <c r="H5" s="388"/>
    </row>
    <row r="6" spans="1:10">
      <c r="A6" s="389" t="s">
        <v>57</v>
      </c>
      <c r="B6" s="392">
        <v>41613</v>
      </c>
      <c r="C6" s="391"/>
      <c r="D6" s="388"/>
      <c r="E6" s="388"/>
      <c r="G6" s="388"/>
      <c r="H6" s="388"/>
    </row>
    <row r="7" spans="1:10">
      <c r="A7" s="389" t="s">
        <v>2582</v>
      </c>
      <c r="B7" s="479" t="s">
        <v>356</v>
      </c>
      <c r="C7" s="388"/>
      <c r="D7" s="388"/>
      <c r="E7" s="388"/>
      <c r="G7" s="388"/>
      <c r="H7" s="388"/>
    </row>
    <row r="8" spans="1:10">
      <c r="A8" s="389" t="s">
        <v>2583</v>
      </c>
      <c r="B8" s="481" t="s">
        <v>2769</v>
      </c>
      <c r="C8" s="388"/>
      <c r="D8" s="388"/>
      <c r="E8" s="388"/>
      <c r="G8" s="388"/>
      <c r="H8" s="388"/>
    </row>
    <row r="9" spans="1:10">
      <c r="B9" s="388"/>
      <c r="C9" s="388"/>
      <c r="D9" s="388"/>
      <c r="E9" s="388"/>
      <c r="G9" s="388"/>
      <c r="H9" s="388"/>
    </row>
    <row r="10" spans="1:10" s="398" customFormat="1" ht="25.5">
      <c r="A10" s="393" t="s">
        <v>5</v>
      </c>
      <c r="B10" s="394" t="s">
        <v>2585</v>
      </c>
      <c r="C10" s="394" t="s">
        <v>2586</v>
      </c>
      <c r="D10" s="394" t="s">
        <v>2587</v>
      </c>
      <c r="E10" s="394" t="s">
        <v>2588</v>
      </c>
      <c r="F10" s="395" t="s">
        <v>51</v>
      </c>
      <c r="G10" s="396" t="s">
        <v>2589</v>
      </c>
      <c r="H10" s="397" t="s">
        <v>2590</v>
      </c>
    </row>
    <row r="11" spans="1:10" s="399" customFormat="1">
      <c r="A11" s="399" t="s">
        <v>2591</v>
      </c>
      <c r="H11" s="400"/>
    </row>
    <row r="12" spans="1:10">
      <c r="A12" s="481" t="s">
        <v>2771</v>
      </c>
      <c r="B12" s="401">
        <v>5351.69</v>
      </c>
      <c r="D12" s="401">
        <f>B12-C12</f>
        <v>5351.69</v>
      </c>
      <c r="E12" s="401">
        <f>D12*18%</f>
        <v>963.30419999999992</v>
      </c>
      <c r="F12" s="401">
        <f>D12+E12</f>
        <v>6314.9941999999992</v>
      </c>
      <c r="G12" s="402">
        <f>G33</f>
        <v>1.6193684491211571</v>
      </c>
      <c r="H12" s="403">
        <f>(F12*G12)+F12</f>
        <v>16541.296563863099</v>
      </c>
      <c r="J12" s="480">
        <f>H14/7</f>
        <v>7544.8515570954396</v>
      </c>
    </row>
    <row r="13" spans="1:10">
      <c r="A13" s="481" t="s">
        <v>2772</v>
      </c>
      <c r="B13" s="401">
        <v>4262.71</v>
      </c>
      <c r="D13" s="401">
        <f>B13-C13</f>
        <v>4262.71</v>
      </c>
      <c r="E13" s="401">
        <f>D13*18%</f>
        <v>767.28779999999995</v>
      </c>
      <c r="F13" s="401">
        <f>D13+E13</f>
        <v>5029.9978000000001</v>
      </c>
      <c r="G13" s="402">
        <f>G12</f>
        <v>1.6193684491211571</v>
      </c>
      <c r="H13" s="403">
        <f>(F13*G13)+F13</f>
        <v>13175.417536468833</v>
      </c>
    </row>
    <row r="14" spans="1:10">
      <c r="A14" s="481" t="s">
        <v>2770</v>
      </c>
      <c r="B14" s="401">
        <v>17087.169999999998</v>
      </c>
      <c r="D14" s="401">
        <f>B14-C14</f>
        <v>17087.169999999998</v>
      </c>
      <c r="E14" s="401">
        <f>D14*18%</f>
        <v>3075.6905999999994</v>
      </c>
      <c r="F14" s="401">
        <f>D14+E14</f>
        <v>20162.860599999996</v>
      </c>
      <c r="G14" s="402">
        <f>G13</f>
        <v>1.6193684491211571</v>
      </c>
      <c r="H14" s="403">
        <f>(F14*G14)+F14</f>
        <v>52813.960899668076</v>
      </c>
    </row>
    <row r="15" spans="1:10">
      <c r="B15" s="404">
        <f>SUM(B12:B14)</f>
        <v>26701.57</v>
      </c>
      <c r="C15" s="404">
        <f>SUM(C12:C14)</f>
        <v>0</v>
      </c>
      <c r="D15" s="404">
        <f>SUM(D12:D14)</f>
        <v>26701.57</v>
      </c>
      <c r="E15" s="404">
        <f>SUM(E12:E14)</f>
        <v>4806.2825999999995</v>
      </c>
      <c r="F15" s="404">
        <f>SUM(F12:F14)</f>
        <v>31507.852599999995</v>
      </c>
      <c r="G15" s="404"/>
      <c r="H15" s="405">
        <f>SUM(H12:H14)</f>
        <v>82530.675000000017</v>
      </c>
    </row>
    <row r="16" spans="1:10">
      <c r="B16" s="406"/>
      <c r="C16" s="406"/>
      <c r="D16" s="406"/>
      <c r="E16" s="406"/>
      <c r="F16" s="406"/>
      <c r="G16" s="406"/>
      <c r="H16" s="407"/>
    </row>
    <row r="17" spans="1:8" s="399" customFormat="1">
      <c r="A17" s="399" t="s">
        <v>2594</v>
      </c>
      <c r="B17" s="408"/>
      <c r="C17" s="408"/>
      <c r="D17" s="408"/>
      <c r="E17" s="408"/>
      <c r="F17" s="408"/>
      <c r="G17" s="409"/>
      <c r="H17" s="410"/>
    </row>
    <row r="18" spans="1:8">
      <c r="A18" s="481" t="s">
        <v>2777</v>
      </c>
      <c r="B18" s="401">
        <v>388.12</v>
      </c>
      <c r="C18" s="401">
        <v>0</v>
      </c>
      <c r="D18" s="401">
        <f>B18-C18</f>
        <v>388.12</v>
      </c>
      <c r="E18" s="401">
        <f>D18*18%</f>
        <v>69.861599999999996</v>
      </c>
      <c r="F18" s="401">
        <f>D18+E18</f>
        <v>457.98160000000001</v>
      </c>
      <c r="G18" s="402">
        <v>0</v>
      </c>
      <c r="H18" s="403">
        <f>F18*G18</f>
        <v>0</v>
      </c>
    </row>
    <row r="19" spans="1:8">
      <c r="A19" s="481" t="s">
        <v>2782</v>
      </c>
      <c r="B19" s="482">
        <v>5148.3100000000004</v>
      </c>
      <c r="C19" s="401">
        <v>0</v>
      </c>
      <c r="D19" s="401">
        <f t="shared" ref="D19:D28" si="0">B19-C19</f>
        <v>5148.3100000000004</v>
      </c>
      <c r="E19" s="401">
        <f t="shared" ref="E19:E28" si="1">D19*18%</f>
        <v>926.69580000000008</v>
      </c>
      <c r="F19" s="401">
        <f t="shared" ref="F19:F28" si="2">D19+E19</f>
        <v>6075.0058000000008</v>
      </c>
      <c r="G19" s="402">
        <v>0</v>
      </c>
      <c r="H19" s="403">
        <f t="shared" ref="H19:H28" si="3">F19*G19</f>
        <v>0</v>
      </c>
    </row>
    <row r="20" spans="1:8">
      <c r="A20" s="481" t="s">
        <v>2773</v>
      </c>
      <c r="B20" s="401">
        <v>3033.9</v>
      </c>
      <c r="C20" s="401">
        <v>0</v>
      </c>
      <c r="D20" s="401">
        <f t="shared" si="0"/>
        <v>3033.9</v>
      </c>
      <c r="E20" s="401">
        <f t="shared" si="1"/>
        <v>546.10199999999998</v>
      </c>
      <c r="F20" s="401">
        <f t="shared" si="2"/>
        <v>3580.002</v>
      </c>
      <c r="G20" s="402">
        <v>0</v>
      </c>
      <c r="H20" s="403">
        <f t="shared" si="3"/>
        <v>0</v>
      </c>
    </row>
    <row r="21" spans="1:8">
      <c r="A21" s="481" t="s">
        <v>2774</v>
      </c>
      <c r="B21" s="401">
        <v>450.85</v>
      </c>
      <c r="C21" s="401">
        <v>0</v>
      </c>
      <c r="D21" s="401">
        <f t="shared" si="0"/>
        <v>450.85</v>
      </c>
      <c r="E21" s="401">
        <f t="shared" si="1"/>
        <v>81.153000000000006</v>
      </c>
      <c r="F21" s="401">
        <f t="shared" si="2"/>
        <v>532.00300000000004</v>
      </c>
      <c r="G21" s="402">
        <v>0</v>
      </c>
      <c r="H21" s="403">
        <f t="shared" si="3"/>
        <v>0</v>
      </c>
    </row>
    <row r="22" spans="1:8">
      <c r="A22" s="481" t="s">
        <v>2775</v>
      </c>
      <c r="B22" s="401">
        <v>450.85</v>
      </c>
      <c r="C22" s="401">
        <v>0</v>
      </c>
      <c r="D22" s="401">
        <f t="shared" si="0"/>
        <v>450.85</v>
      </c>
      <c r="E22" s="401">
        <f t="shared" si="1"/>
        <v>81.153000000000006</v>
      </c>
      <c r="F22" s="401">
        <f t="shared" si="2"/>
        <v>532.00300000000004</v>
      </c>
      <c r="G22" s="402">
        <v>0</v>
      </c>
      <c r="H22" s="403">
        <f t="shared" si="3"/>
        <v>0</v>
      </c>
    </row>
    <row r="23" spans="1:8">
      <c r="A23" s="481" t="s">
        <v>2776</v>
      </c>
      <c r="B23" s="401">
        <v>1198.31</v>
      </c>
      <c r="C23" s="401">
        <v>0</v>
      </c>
      <c r="D23" s="401">
        <f t="shared" si="0"/>
        <v>1198.31</v>
      </c>
      <c r="E23" s="401">
        <f t="shared" si="1"/>
        <v>215.69579999999999</v>
      </c>
      <c r="F23" s="401">
        <f t="shared" si="2"/>
        <v>1414.0057999999999</v>
      </c>
      <c r="G23" s="402">
        <v>0</v>
      </c>
      <c r="H23" s="403">
        <f t="shared" si="3"/>
        <v>0</v>
      </c>
    </row>
    <row r="24" spans="1:8">
      <c r="A24" s="481" t="s">
        <v>2777</v>
      </c>
      <c r="B24" s="401">
        <v>970.34</v>
      </c>
      <c r="C24" s="401">
        <v>0</v>
      </c>
      <c r="D24" s="401">
        <f t="shared" si="0"/>
        <v>970.34</v>
      </c>
      <c r="E24" s="401">
        <f t="shared" si="1"/>
        <v>174.66120000000001</v>
      </c>
      <c r="F24" s="401">
        <f t="shared" si="2"/>
        <v>1145.0012000000002</v>
      </c>
      <c r="G24" s="402">
        <v>0</v>
      </c>
      <c r="H24" s="403">
        <f t="shared" si="3"/>
        <v>0</v>
      </c>
    </row>
    <row r="25" spans="1:8">
      <c r="A25" s="481" t="s">
        <v>2778</v>
      </c>
      <c r="B25" s="401">
        <v>7469.12</v>
      </c>
      <c r="C25" s="401">
        <v>0</v>
      </c>
      <c r="D25" s="401">
        <f t="shared" si="0"/>
        <v>7469.12</v>
      </c>
      <c r="E25" s="401">
        <f t="shared" si="1"/>
        <v>1344.4415999999999</v>
      </c>
      <c r="F25" s="401">
        <f t="shared" si="2"/>
        <v>8813.5615999999991</v>
      </c>
      <c r="G25" s="402">
        <v>0</v>
      </c>
      <c r="H25" s="403">
        <f t="shared" si="3"/>
        <v>0</v>
      </c>
    </row>
    <row r="26" spans="1:8">
      <c r="A26" s="481" t="s">
        <v>2779</v>
      </c>
      <c r="B26" s="401">
        <v>20088.64</v>
      </c>
      <c r="C26" s="401">
        <v>0</v>
      </c>
      <c r="D26" s="401">
        <f t="shared" si="0"/>
        <v>20088.64</v>
      </c>
      <c r="E26" s="401">
        <f t="shared" si="1"/>
        <v>3615.9551999999999</v>
      </c>
      <c r="F26" s="401">
        <f t="shared" si="2"/>
        <v>23704.5952</v>
      </c>
      <c r="G26" s="402">
        <v>0</v>
      </c>
      <c r="H26" s="403">
        <f t="shared" si="3"/>
        <v>0</v>
      </c>
    </row>
    <row r="27" spans="1:8">
      <c r="A27" s="481" t="s">
        <v>2780</v>
      </c>
      <c r="B27" s="401">
        <v>2669.49</v>
      </c>
      <c r="C27" s="401">
        <v>0</v>
      </c>
      <c r="D27" s="401">
        <f t="shared" si="0"/>
        <v>2669.49</v>
      </c>
      <c r="E27" s="401">
        <f t="shared" si="1"/>
        <v>480.50819999999993</v>
      </c>
      <c r="F27" s="401">
        <f t="shared" si="2"/>
        <v>3149.9981999999995</v>
      </c>
      <c r="G27" s="402">
        <v>0</v>
      </c>
      <c r="H27" s="403">
        <f t="shared" si="3"/>
        <v>0</v>
      </c>
    </row>
    <row r="28" spans="1:8">
      <c r="A28" s="481" t="s">
        <v>2781</v>
      </c>
      <c r="B28" s="401">
        <v>1371.75</v>
      </c>
      <c r="C28" s="401">
        <v>0</v>
      </c>
      <c r="D28" s="401">
        <f t="shared" si="0"/>
        <v>1371.75</v>
      </c>
      <c r="E28" s="401">
        <f t="shared" si="1"/>
        <v>246.91499999999999</v>
      </c>
      <c r="F28" s="401">
        <f t="shared" si="2"/>
        <v>1618.665</v>
      </c>
      <c r="G28" s="402">
        <v>0</v>
      </c>
      <c r="H28" s="403">
        <f t="shared" si="3"/>
        <v>0</v>
      </c>
    </row>
    <row r="29" spans="1:8">
      <c r="B29" s="404">
        <f>SUM(B18:B28)</f>
        <v>43239.68</v>
      </c>
      <c r="C29" s="404">
        <f>SUM(C18:C28)</f>
        <v>0</v>
      </c>
      <c r="D29" s="404">
        <f>SUM(D18:D28)</f>
        <v>43239.68</v>
      </c>
      <c r="E29" s="404">
        <f>SUM(E18:E28)</f>
        <v>7783.1423999999997</v>
      </c>
      <c r="F29" s="404">
        <f>SUM(F18:F28)</f>
        <v>51022.822400000005</v>
      </c>
      <c r="G29" s="404"/>
      <c r="H29" s="405">
        <f>SUM(H18:H28)</f>
        <v>0</v>
      </c>
    </row>
    <row r="30" spans="1:8">
      <c r="F30" s="401"/>
    </row>
    <row r="31" spans="1:8" ht="13.5" thickBot="1">
      <c r="B31" s="411">
        <f>SUM(B29,B15)</f>
        <v>69941.25</v>
      </c>
      <c r="C31" s="411">
        <f>SUM(C29,C15)</f>
        <v>0</v>
      </c>
      <c r="D31" s="411">
        <f>SUM(D29,D15)</f>
        <v>69941.25</v>
      </c>
      <c r="E31" s="411">
        <f>SUM(E29,E15)</f>
        <v>12589.424999999999</v>
      </c>
      <c r="F31" s="411">
        <f>SUM(F29,F15)</f>
        <v>82530.675000000003</v>
      </c>
      <c r="G31" s="411"/>
      <c r="H31" s="412">
        <f>SUM(H29,H15)</f>
        <v>82530.675000000017</v>
      </c>
    </row>
    <row r="32" spans="1:8" ht="13.5" thickTop="1"/>
    <row r="33" spans="1:8" s="413" customFormat="1">
      <c r="A33" s="413" t="s">
        <v>2597</v>
      </c>
      <c r="B33" s="414"/>
      <c r="C33" s="414"/>
      <c r="D33" s="414"/>
      <c r="E33" s="414"/>
      <c r="F33" s="415"/>
      <c r="G33" s="402">
        <f>F29/F15</f>
        <v>1.6193684491211571</v>
      </c>
      <c r="H33" s="416"/>
    </row>
  </sheetData>
  <mergeCells count="3">
    <mergeCell ref="A1:H1"/>
    <mergeCell ref="A2:H2"/>
    <mergeCell ref="A3:H3"/>
  </mergeCells>
  <printOptions horizontalCentered="1"/>
  <pageMargins left="0.78740157480314965" right="0.78740157480314965" top="0.98425196850393704" bottom="0.98425196850393704" header="0" footer="0"/>
  <pageSetup scale="95" orientation="landscape" r:id="rId1"/>
  <headerFooter alignWithMargins="0"/>
  <legacyDrawing r:id="rId2"/>
  <oleObjects>
    <oleObject progId="Word.Document.8" shapeId="2049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J33"/>
  <sheetViews>
    <sheetView topLeftCell="A7" zoomScaleNormal="100" workbookViewId="0">
      <selection activeCell="A14" sqref="A14"/>
    </sheetView>
  </sheetViews>
  <sheetFormatPr baseColWidth="10" defaultRowHeight="12.75"/>
  <cols>
    <col min="1" max="1" width="38.140625" style="388" customWidth="1"/>
    <col min="2" max="3" width="12.7109375" style="401" customWidth="1"/>
    <col min="4" max="4" width="13.28515625" style="401" customWidth="1"/>
    <col min="5" max="5" width="12.7109375" style="401" customWidth="1"/>
    <col min="6" max="6" width="12.7109375" style="388" customWidth="1"/>
    <col min="7" max="7" width="12.7109375" style="402" customWidth="1"/>
    <col min="8" max="8" width="12.7109375" style="403" customWidth="1"/>
    <col min="9" max="256" width="11.42578125" style="388"/>
    <col min="257" max="257" width="38.140625" style="388" customWidth="1"/>
    <col min="258" max="259" width="12.7109375" style="388" customWidth="1"/>
    <col min="260" max="260" width="13.28515625" style="388" customWidth="1"/>
    <col min="261" max="264" width="12.7109375" style="388" customWidth="1"/>
    <col min="265" max="512" width="11.42578125" style="388"/>
    <col min="513" max="513" width="38.140625" style="388" customWidth="1"/>
    <col min="514" max="515" width="12.7109375" style="388" customWidth="1"/>
    <col min="516" max="516" width="13.28515625" style="388" customWidth="1"/>
    <col min="517" max="520" width="12.7109375" style="388" customWidth="1"/>
    <col min="521" max="768" width="11.42578125" style="388"/>
    <col min="769" max="769" width="38.140625" style="388" customWidth="1"/>
    <col min="770" max="771" width="12.7109375" style="388" customWidth="1"/>
    <col min="772" max="772" width="13.28515625" style="388" customWidth="1"/>
    <col min="773" max="776" width="12.7109375" style="388" customWidth="1"/>
    <col min="777" max="1024" width="11.42578125" style="388"/>
    <col min="1025" max="1025" width="38.140625" style="388" customWidth="1"/>
    <col min="1026" max="1027" width="12.7109375" style="388" customWidth="1"/>
    <col min="1028" max="1028" width="13.28515625" style="388" customWidth="1"/>
    <col min="1029" max="1032" width="12.7109375" style="388" customWidth="1"/>
    <col min="1033" max="1280" width="11.42578125" style="388"/>
    <col min="1281" max="1281" width="38.140625" style="388" customWidth="1"/>
    <col min="1282" max="1283" width="12.7109375" style="388" customWidth="1"/>
    <col min="1284" max="1284" width="13.28515625" style="388" customWidth="1"/>
    <col min="1285" max="1288" width="12.7109375" style="388" customWidth="1"/>
    <col min="1289" max="1536" width="11.42578125" style="388"/>
    <col min="1537" max="1537" width="38.140625" style="388" customWidth="1"/>
    <col min="1538" max="1539" width="12.7109375" style="388" customWidth="1"/>
    <col min="1540" max="1540" width="13.28515625" style="388" customWidth="1"/>
    <col min="1541" max="1544" width="12.7109375" style="388" customWidth="1"/>
    <col min="1545" max="1792" width="11.42578125" style="388"/>
    <col min="1793" max="1793" width="38.140625" style="388" customWidth="1"/>
    <col min="1794" max="1795" width="12.7109375" style="388" customWidth="1"/>
    <col min="1796" max="1796" width="13.28515625" style="388" customWidth="1"/>
    <col min="1797" max="1800" width="12.7109375" style="388" customWidth="1"/>
    <col min="1801" max="2048" width="11.42578125" style="388"/>
    <col min="2049" max="2049" width="38.140625" style="388" customWidth="1"/>
    <col min="2050" max="2051" width="12.7109375" style="388" customWidth="1"/>
    <col min="2052" max="2052" width="13.28515625" style="388" customWidth="1"/>
    <col min="2053" max="2056" width="12.7109375" style="388" customWidth="1"/>
    <col min="2057" max="2304" width="11.42578125" style="388"/>
    <col min="2305" max="2305" width="38.140625" style="388" customWidth="1"/>
    <col min="2306" max="2307" width="12.7109375" style="388" customWidth="1"/>
    <col min="2308" max="2308" width="13.28515625" style="388" customWidth="1"/>
    <col min="2309" max="2312" width="12.7109375" style="388" customWidth="1"/>
    <col min="2313" max="2560" width="11.42578125" style="388"/>
    <col min="2561" max="2561" width="38.140625" style="388" customWidth="1"/>
    <col min="2562" max="2563" width="12.7109375" style="388" customWidth="1"/>
    <col min="2564" max="2564" width="13.28515625" style="388" customWidth="1"/>
    <col min="2565" max="2568" width="12.7109375" style="388" customWidth="1"/>
    <col min="2569" max="2816" width="11.42578125" style="388"/>
    <col min="2817" max="2817" width="38.140625" style="388" customWidth="1"/>
    <col min="2818" max="2819" width="12.7109375" style="388" customWidth="1"/>
    <col min="2820" max="2820" width="13.28515625" style="388" customWidth="1"/>
    <col min="2821" max="2824" width="12.7109375" style="388" customWidth="1"/>
    <col min="2825" max="3072" width="11.42578125" style="388"/>
    <col min="3073" max="3073" width="38.140625" style="388" customWidth="1"/>
    <col min="3074" max="3075" width="12.7109375" style="388" customWidth="1"/>
    <col min="3076" max="3076" width="13.28515625" style="388" customWidth="1"/>
    <col min="3077" max="3080" width="12.7109375" style="388" customWidth="1"/>
    <col min="3081" max="3328" width="11.42578125" style="388"/>
    <col min="3329" max="3329" width="38.140625" style="388" customWidth="1"/>
    <col min="3330" max="3331" width="12.7109375" style="388" customWidth="1"/>
    <col min="3332" max="3332" width="13.28515625" style="388" customWidth="1"/>
    <col min="3333" max="3336" width="12.7109375" style="388" customWidth="1"/>
    <col min="3337" max="3584" width="11.42578125" style="388"/>
    <col min="3585" max="3585" width="38.140625" style="388" customWidth="1"/>
    <col min="3586" max="3587" width="12.7109375" style="388" customWidth="1"/>
    <col min="3588" max="3588" width="13.28515625" style="388" customWidth="1"/>
    <col min="3589" max="3592" width="12.7109375" style="388" customWidth="1"/>
    <col min="3593" max="3840" width="11.42578125" style="388"/>
    <col min="3841" max="3841" width="38.140625" style="388" customWidth="1"/>
    <col min="3842" max="3843" width="12.7109375" style="388" customWidth="1"/>
    <col min="3844" max="3844" width="13.28515625" style="388" customWidth="1"/>
    <col min="3845" max="3848" width="12.7109375" style="388" customWidth="1"/>
    <col min="3849" max="4096" width="11.42578125" style="388"/>
    <col min="4097" max="4097" width="38.140625" style="388" customWidth="1"/>
    <col min="4098" max="4099" width="12.7109375" style="388" customWidth="1"/>
    <col min="4100" max="4100" width="13.28515625" style="388" customWidth="1"/>
    <col min="4101" max="4104" width="12.7109375" style="388" customWidth="1"/>
    <col min="4105" max="4352" width="11.42578125" style="388"/>
    <col min="4353" max="4353" width="38.140625" style="388" customWidth="1"/>
    <col min="4354" max="4355" width="12.7109375" style="388" customWidth="1"/>
    <col min="4356" max="4356" width="13.28515625" style="388" customWidth="1"/>
    <col min="4357" max="4360" width="12.7109375" style="388" customWidth="1"/>
    <col min="4361" max="4608" width="11.42578125" style="388"/>
    <col min="4609" max="4609" width="38.140625" style="388" customWidth="1"/>
    <col min="4610" max="4611" width="12.7109375" style="388" customWidth="1"/>
    <col min="4612" max="4612" width="13.28515625" style="388" customWidth="1"/>
    <col min="4613" max="4616" width="12.7109375" style="388" customWidth="1"/>
    <col min="4617" max="4864" width="11.42578125" style="388"/>
    <col min="4865" max="4865" width="38.140625" style="388" customWidth="1"/>
    <col min="4866" max="4867" width="12.7109375" style="388" customWidth="1"/>
    <col min="4868" max="4868" width="13.28515625" style="388" customWidth="1"/>
    <col min="4869" max="4872" width="12.7109375" style="388" customWidth="1"/>
    <col min="4873" max="5120" width="11.42578125" style="388"/>
    <col min="5121" max="5121" width="38.140625" style="388" customWidth="1"/>
    <col min="5122" max="5123" width="12.7109375" style="388" customWidth="1"/>
    <col min="5124" max="5124" width="13.28515625" style="388" customWidth="1"/>
    <col min="5125" max="5128" width="12.7109375" style="388" customWidth="1"/>
    <col min="5129" max="5376" width="11.42578125" style="388"/>
    <col min="5377" max="5377" width="38.140625" style="388" customWidth="1"/>
    <col min="5378" max="5379" width="12.7109375" style="388" customWidth="1"/>
    <col min="5380" max="5380" width="13.28515625" style="388" customWidth="1"/>
    <col min="5381" max="5384" width="12.7109375" style="388" customWidth="1"/>
    <col min="5385" max="5632" width="11.42578125" style="388"/>
    <col min="5633" max="5633" width="38.140625" style="388" customWidth="1"/>
    <col min="5634" max="5635" width="12.7109375" style="388" customWidth="1"/>
    <col min="5636" max="5636" width="13.28515625" style="388" customWidth="1"/>
    <col min="5637" max="5640" width="12.7109375" style="388" customWidth="1"/>
    <col min="5641" max="5888" width="11.42578125" style="388"/>
    <col min="5889" max="5889" width="38.140625" style="388" customWidth="1"/>
    <col min="5890" max="5891" width="12.7109375" style="388" customWidth="1"/>
    <col min="5892" max="5892" width="13.28515625" style="388" customWidth="1"/>
    <col min="5893" max="5896" width="12.7109375" style="388" customWidth="1"/>
    <col min="5897" max="6144" width="11.42578125" style="388"/>
    <col min="6145" max="6145" width="38.140625" style="388" customWidth="1"/>
    <col min="6146" max="6147" width="12.7109375" style="388" customWidth="1"/>
    <col min="6148" max="6148" width="13.28515625" style="388" customWidth="1"/>
    <col min="6149" max="6152" width="12.7109375" style="388" customWidth="1"/>
    <col min="6153" max="6400" width="11.42578125" style="388"/>
    <col min="6401" max="6401" width="38.140625" style="388" customWidth="1"/>
    <col min="6402" max="6403" width="12.7109375" style="388" customWidth="1"/>
    <col min="6404" max="6404" width="13.28515625" style="388" customWidth="1"/>
    <col min="6405" max="6408" width="12.7109375" style="388" customWidth="1"/>
    <col min="6409" max="6656" width="11.42578125" style="388"/>
    <col min="6657" max="6657" width="38.140625" style="388" customWidth="1"/>
    <col min="6658" max="6659" width="12.7109375" style="388" customWidth="1"/>
    <col min="6660" max="6660" width="13.28515625" style="388" customWidth="1"/>
    <col min="6661" max="6664" width="12.7109375" style="388" customWidth="1"/>
    <col min="6665" max="6912" width="11.42578125" style="388"/>
    <col min="6913" max="6913" width="38.140625" style="388" customWidth="1"/>
    <col min="6914" max="6915" width="12.7109375" style="388" customWidth="1"/>
    <col min="6916" max="6916" width="13.28515625" style="388" customWidth="1"/>
    <col min="6917" max="6920" width="12.7109375" style="388" customWidth="1"/>
    <col min="6921" max="7168" width="11.42578125" style="388"/>
    <col min="7169" max="7169" width="38.140625" style="388" customWidth="1"/>
    <col min="7170" max="7171" width="12.7109375" style="388" customWidth="1"/>
    <col min="7172" max="7172" width="13.28515625" style="388" customWidth="1"/>
    <col min="7173" max="7176" width="12.7109375" style="388" customWidth="1"/>
    <col min="7177" max="7424" width="11.42578125" style="388"/>
    <col min="7425" max="7425" width="38.140625" style="388" customWidth="1"/>
    <col min="7426" max="7427" width="12.7109375" style="388" customWidth="1"/>
    <col min="7428" max="7428" width="13.28515625" style="388" customWidth="1"/>
    <col min="7429" max="7432" width="12.7109375" style="388" customWidth="1"/>
    <col min="7433" max="7680" width="11.42578125" style="388"/>
    <col min="7681" max="7681" width="38.140625" style="388" customWidth="1"/>
    <col min="7682" max="7683" width="12.7109375" style="388" customWidth="1"/>
    <col min="7684" max="7684" width="13.28515625" style="388" customWidth="1"/>
    <col min="7685" max="7688" width="12.7109375" style="388" customWidth="1"/>
    <col min="7689" max="7936" width="11.42578125" style="388"/>
    <col min="7937" max="7937" width="38.140625" style="388" customWidth="1"/>
    <col min="7938" max="7939" width="12.7109375" style="388" customWidth="1"/>
    <col min="7940" max="7940" width="13.28515625" style="388" customWidth="1"/>
    <col min="7941" max="7944" width="12.7109375" style="388" customWidth="1"/>
    <col min="7945" max="8192" width="11.42578125" style="388"/>
    <col min="8193" max="8193" width="38.140625" style="388" customWidth="1"/>
    <col min="8194" max="8195" width="12.7109375" style="388" customWidth="1"/>
    <col min="8196" max="8196" width="13.28515625" style="388" customWidth="1"/>
    <col min="8197" max="8200" width="12.7109375" style="388" customWidth="1"/>
    <col min="8201" max="8448" width="11.42578125" style="388"/>
    <col min="8449" max="8449" width="38.140625" style="388" customWidth="1"/>
    <col min="8450" max="8451" width="12.7109375" style="388" customWidth="1"/>
    <col min="8452" max="8452" width="13.28515625" style="388" customWidth="1"/>
    <col min="8453" max="8456" width="12.7109375" style="388" customWidth="1"/>
    <col min="8457" max="8704" width="11.42578125" style="388"/>
    <col min="8705" max="8705" width="38.140625" style="388" customWidth="1"/>
    <col min="8706" max="8707" width="12.7109375" style="388" customWidth="1"/>
    <col min="8708" max="8708" width="13.28515625" style="388" customWidth="1"/>
    <col min="8709" max="8712" width="12.7109375" style="388" customWidth="1"/>
    <col min="8713" max="8960" width="11.42578125" style="388"/>
    <col min="8961" max="8961" width="38.140625" style="388" customWidth="1"/>
    <col min="8962" max="8963" width="12.7109375" style="388" customWidth="1"/>
    <col min="8964" max="8964" width="13.28515625" style="388" customWidth="1"/>
    <col min="8965" max="8968" width="12.7109375" style="388" customWidth="1"/>
    <col min="8969" max="9216" width="11.42578125" style="388"/>
    <col min="9217" max="9217" width="38.140625" style="388" customWidth="1"/>
    <col min="9218" max="9219" width="12.7109375" style="388" customWidth="1"/>
    <col min="9220" max="9220" width="13.28515625" style="388" customWidth="1"/>
    <col min="9221" max="9224" width="12.7109375" style="388" customWidth="1"/>
    <col min="9225" max="9472" width="11.42578125" style="388"/>
    <col min="9473" max="9473" width="38.140625" style="388" customWidth="1"/>
    <col min="9474" max="9475" width="12.7109375" style="388" customWidth="1"/>
    <col min="9476" max="9476" width="13.28515625" style="388" customWidth="1"/>
    <col min="9477" max="9480" width="12.7109375" style="388" customWidth="1"/>
    <col min="9481" max="9728" width="11.42578125" style="388"/>
    <col min="9729" max="9729" width="38.140625" style="388" customWidth="1"/>
    <col min="9730" max="9731" width="12.7109375" style="388" customWidth="1"/>
    <col min="9732" max="9732" width="13.28515625" style="388" customWidth="1"/>
    <col min="9733" max="9736" width="12.7109375" style="388" customWidth="1"/>
    <col min="9737" max="9984" width="11.42578125" style="388"/>
    <col min="9985" max="9985" width="38.140625" style="388" customWidth="1"/>
    <col min="9986" max="9987" width="12.7109375" style="388" customWidth="1"/>
    <col min="9988" max="9988" width="13.28515625" style="388" customWidth="1"/>
    <col min="9989" max="9992" width="12.7109375" style="388" customWidth="1"/>
    <col min="9993" max="10240" width="11.42578125" style="388"/>
    <col min="10241" max="10241" width="38.140625" style="388" customWidth="1"/>
    <col min="10242" max="10243" width="12.7109375" style="388" customWidth="1"/>
    <col min="10244" max="10244" width="13.28515625" style="388" customWidth="1"/>
    <col min="10245" max="10248" width="12.7109375" style="388" customWidth="1"/>
    <col min="10249" max="10496" width="11.42578125" style="388"/>
    <col min="10497" max="10497" width="38.140625" style="388" customWidth="1"/>
    <col min="10498" max="10499" width="12.7109375" style="388" customWidth="1"/>
    <col min="10500" max="10500" width="13.28515625" style="388" customWidth="1"/>
    <col min="10501" max="10504" width="12.7109375" style="388" customWidth="1"/>
    <col min="10505" max="10752" width="11.42578125" style="388"/>
    <col min="10753" max="10753" width="38.140625" style="388" customWidth="1"/>
    <col min="10754" max="10755" width="12.7109375" style="388" customWidth="1"/>
    <col min="10756" max="10756" width="13.28515625" style="388" customWidth="1"/>
    <col min="10757" max="10760" width="12.7109375" style="388" customWidth="1"/>
    <col min="10761" max="11008" width="11.42578125" style="388"/>
    <col min="11009" max="11009" width="38.140625" style="388" customWidth="1"/>
    <col min="11010" max="11011" width="12.7109375" style="388" customWidth="1"/>
    <col min="11012" max="11012" width="13.28515625" style="388" customWidth="1"/>
    <col min="11013" max="11016" width="12.7109375" style="388" customWidth="1"/>
    <col min="11017" max="11264" width="11.42578125" style="388"/>
    <col min="11265" max="11265" width="38.140625" style="388" customWidth="1"/>
    <col min="11266" max="11267" width="12.7109375" style="388" customWidth="1"/>
    <col min="11268" max="11268" width="13.28515625" style="388" customWidth="1"/>
    <col min="11269" max="11272" width="12.7109375" style="388" customWidth="1"/>
    <col min="11273" max="11520" width="11.42578125" style="388"/>
    <col min="11521" max="11521" width="38.140625" style="388" customWidth="1"/>
    <col min="11522" max="11523" width="12.7109375" style="388" customWidth="1"/>
    <col min="11524" max="11524" width="13.28515625" style="388" customWidth="1"/>
    <col min="11525" max="11528" width="12.7109375" style="388" customWidth="1"/>
    <col min="11529" max="11776" width="11.42578125" style="388"/>
    <col min="11777" max="11777" width="38.140625" style="388" customWidth="1"/>
    <col min="11778" max="11779" width="12.7109375" style="388" customWidth="1"/>
    <col min="11780" max="11780" width="13.28515625" style="388" customWidth="1"/>
    <col min="11781" max="11784" width="12.7109375" style="388" customWidth="1"/>
    <col min="11785" max="12032" width="11.42578125" style="388"/>
    <col min="12033" max="12033" width="38.140625" style="388" customWidth="1"/>
    <col min="12034" max="12035" width="12.7109375" style="388" customWidth="1"/>
    <col min="12036" max="12036" width="13.28515625" style="388" customWidth="1"/>
    <col min="12037" max="12040" width="12.7109375" style="388" customWidth="1"/>
    <col min="12041" max="12288" width="11.42578125" style="388"/>
    <col min="12289" max="12289" width="38.140625" style="388" customWidth="1"/>
    <col min="12290" max="12291" width="12.7109375" style="388" customWidth="1"/>
    <col min="12292" max="12292" width="13.28515625" style="388" customWidth="1"/>
    <col min="12293" max="12296" width="12.7109375" style="388" customWidth="1"/>
    <col min="12297" max="12544" width="11.42578125" style="388"/>
    <col min="12545" max="12545" width="38.140625" style="388" customWidth="1"/>
    <col min="12546" max="12547" width="12.7109375" style="388" customWidth="1"/>
    <col min="12548" max="12548" width="13.28515625" style="388" customWidth="1"/>
    <col min="12549" max="12552" width="12.7109375" style="388" customWidth="1"/>
    <col min="12553" max="12800" width="11.42578125" style="388"/>
    <col min="12801" max="12801" width="38.140625" style="388" customWidth="1"/>
    <col min="12802" max="12803" width="12.7109375" style="388" customWidth="1"/>
    <col min="12804" max="12804" width="13.28515625" style="388" customWidth="1"/>
    <col min="12805" max="12808" width="12.7109375" style="388" customWidth="1"/>
    <col min="12809" max="13056" width="11.42578125" style="388"/>
    <col min="13057" max="13057" width="38.140625" style="388" customWidth="1"/>
    <col min="13058" max="13059" width="12.7109375" style="388" customWidth="1"/>
    <col min="13060" max="13060" width="13.28515625" style="388" customWidth="1"/>
    <col min="13061" max="13064" width="12.7109375" style="388" customWidth="1"/>
    <col min="13065" max="13312" width="11.42578125" style="388"/>
    <col min="13313" max="13313" width="38.140625" style="388" customWidth="1"/>
    <col min="13314" max="13315" width="12.7109375" style="388" customWidth="1"/>
    <col min="13316" max="13316" width="13.28515625" style="388" customWidth="1"/>
    <col min="13317" max="13320" width="12.7109375" style="388" customWidth="1"/>
    <col min="13321" max="13568" width="11.42578125" style="388"/>
    <col min="13569" max="13569" width="38.140625" style="388" customWidth="1"/>
    <col min="13570" max="13571" width="12.7109375" style="388" customWidth="1"/>
    <col min="13572" max="13572" width="13.28515625" style="388" customWidth="1"/>
    <col min="13573" max="13576" width="12.7109375" style="388" customWidth="1"/>
    <col min="13577" max="13824" width="11.42578125" style="388"/>
    <col min="13825" max="13825" width="38.140625" style="388" customWidth="1"/>
    <col min="13826" max="13827" width="12.7109375" style="388" customWidth="1"/>
    <col min="13828" max="13828" width="13.28515625" style="388" customWidth="1"/>
    <col min="13829" max="13832" width="12.7109375" style="388" customWidth="1"/>
    <col min="13833" max="14080" width="11.42578125" style="388"/>
    <col min="14081" max="14081" width="38.140625" style="388" customWidth="1"/>
    <col min="14082" max="14083" width="12.7109375" style="388" customWidth="1"/>
    <col min="14084" max="14084" width="13.28515625" style="388" customWidth="1"/>
    <col min="14085" max="14088" width="12.7109375" style="388" customWidth="1"/>
    <col min="14089" max="14336" width="11.42578125" style="388"/>
    <col min="14337" max="14337" width="38.140625" style="388" customWidth="1"/>
    <col min="14338" max="14339" width="12.7109375" style="388" customWidth="1"/>
    <col min="14340" max="14340" width="13.28515625" style="388" customWidth="1"/>
    <col min="14341" max="14344" width="12.7109375" style="388" customWidth="1"/>
    <col min="14345" max="14592" width="11.42578125" style="388"/>
    <col min="14593" max="14593" width="38.140625" style="388" customWidth="1"/>
    <col min="14594" max="14595" width="12.7109375" style="388" customWidth="1"/>
    <col min="14596" max="14596" width="13.28515625" style="388" customWidth="1"/>
    <col min="14597" max="14600" width="12.7109375" style="388" customWidth="1"/>
    <col min="14601" max="14848" width="11.42578125" style="388"/>
    <col min="14849" max="14849" width="38.140625" style="388" customWidth="1"/>
    <col min="14850" max="14851" width="12.7109375" style="388" customWidth="1"/>
    <col min="14852" max="14852" width="13.28515625" style="388" customWidth="1"/>
    <col min="14853" max="14856" width="12.7109375" style="388" customWidth="1"/>
    <col min="14857" max="15104" width="11.42578125" style="388"/>
    <col min="15105" max="15105" width="38.140625" style="388" customWidth="1"/>
    <col min="15106" max="15107" width="12.7109375" style="388" customWidth="1"/>
    <col min="15108" max="15108" width="13.28515625" style="388" customWidth="1"/>
    <col min="15109" max="15112" width="12.7109375" style="388" customWidth="1"/>
    <col min="15113" max="15360" width="11.42578125" style="388"/>
    <col min="15361" max="15361" width="38.140625" style="388" customWidth="1"/>
    <col min="15362" max="15363" width="12.7109375" style="388" customWidth="1"/>
    <col min="15364" max="15364" width="13.28515625" style="388" customWidth="1"/>
    <col min="15365" max="15368" width="12.7109375" style="388" customWidth="1"/>
    <col min="15369" max="15616" width="11.42578125" style="388"/>
    <col min="15617" max="15617" width="38.140625" style="388" customWidth="1"/>
    <col min="15618" max="15619" width="12.7109375" style="388" customWidth="1"/>
    <col min="15620" max="15620" width="13.28515625" style="388" customWidth="1"/>
    <col min="15621" max="15624" width="12.7109375" style="388" customWidth="1"/>
    <col min="15625" max="15872" width="11.42578125" style="388"/>
    <col min="15873" max="15873" width="38.140625" style="388" customWidth="1"/>
    <col min="15874" max="15875" width="12.7109375" style="388" customWidth="1"/>
    <col min="15876" max="15876" width="13.28515625" style="388" customWidth="1"/>
    <col min="15877" max="15880" width="12.7109375" style="388" customWidth="1"/>
    <col min="15881" max="16128" width="11.42578125" style="388"/>
    <col min="16129" max="16129" width="38.140625" style="388" customWidth="1"/>
    <col min="16130" max="16131" width="12.7109375" style="388" customWidth="1"/>
    <col min="16132" max="16132" width="13.28515625" style="388" customWidth="1"/>
    <col min="16133" max="16136" width="12.7109375" style="388" customWidth="1"/>
    <col min="16137" max="16384" width="11.42578125" style="388"/>
  </cols>
  <sheetData>
    <row r="1" spans="1:10" ht="18">
      <c r="A1" s="550" t="s">
        <v>0</v>
      </c>
      <c r="B1" s="550"/>
      <c r="C1" s="550"/>
      <c r="D1" s="550"/>
      <c r="E1" s="550"/>
      <c r="F1" s="550"/>
      <c r="G1" s="550"/>
      <c r="H1" s="550"/>
    </row>
    <row r="2" spans="1:10">
      <c r="A2" s="551" t="s">
        <v>2579</v>
      </c>
      <c r="B2" s="551"/>
      <c r="C2" s="551"/>
      <c r="D2" s="551"/>
      <c r="E2" s="551"/>
      <c r="F2" s="551"/>
      <c r="G2" s="551"/>
      <c r="H2" s="551"/>
    </row>
    <row r="3" spans="1:10">
      <c r="A3" s="551" t="s">
        <v>2580</v>
      </c>
      <c r="B3" s="551"/>
      <c r="C3" s="551"/>
      <c r="D3" s="551"/>
      <c r="E3" s="551"/>
      <c r="F3" s="551"/>
      <c r="G3" s="551"/>
      <c r="H3" s="551"/>
    </row>
    <row r="4" spans="1:10">
      <c r="B4" s="388"/>
      <c r="C4" s="388"/>
      <c r="D4" s="388"/>
      <c r="E4" s="388"/>
      <c r="G4" s="388"/>
      <c r="H4" s="388"/>
    </row>
    <row r="5" spans="1:10">
      <c r="A5" s="389" t="s">
        <v>2581</v>
      </c>
      <c r="B5" s="390">
        <v>18701</v>
      </c>
      <c r="C5" s="391"/>
      <c r="D5" s="388"/>
      <c r="E5" s="388"/>
      <c r="G5" s="388"/>
      <c r="H5" s="388"/>
    </row>
    <row r="6" spans="1:10">
      <c r="A6" s="389" t="s">
        <v>57</v>
      </c>
      <c r="B6" s="392">
        <v>41758</v>
      </c>
      <c r="C6" s="391"/>
      <c r="D6" s="388"/>
      <c r="E6" s="388"/>
      <c r="G6" s="388"/>
      <c r="H6" s="388"/>
    </row>
    <row r="7" spans="1:10">
      <c r="A7" s="389" t="s">
        <v>2582</v>
      </c>
      <c r="B7" s="479" t="s">
        <v>356</v>
      </c>
      <c r="C7" s="388"/>
      <c r="D7" s="388"/>
      <c r="E7" s="388"/>
      <c r="G7" s="388"/>
      <c r="H7" s="388"/>
    </row>
    <row r="8" spans="1:10">
      <c r="A8" s="389" t="s">
        <v>2583</v>
      </c>
      <c r="B8" s="481" t="s">
        <v>2769</v>
      </c>
      <c r="C8" s="388"/>
      <c r="D8" s="388"/>
      <c r="E8" s="388"/>
      <c r="G8" s="388"/>
      <c r="H8" s="388"/>
    </row>
    <row r="9" spans="1:10">
      <c r="B9" s="388"/>
      <c r="C9" s="388"/>
      <c r="D9" s="388"/>
      <c r="E9" s="388"/>
      <c r="G9" s="388"/>
      <c r="H9" s="388"/>
    </row>
    <row r="10" spans="1:10" s="398" customFormat="1" ht="25.5">
      <c r="A10" s="393" t="s">
        <v>5</v>
      </c>
      <c r="B10" s="394" t="s">
        <v>2585</v>
      </c>
      <c r="C10" s="394" t="s">
        <v>2586</v>
      </c>
      <c r="D10" s="394" t="s">
        <v>2587</v>
      </c>
      <c r="E10" s="394" t="s">
        <v>2588</v>
      </c>
      <c r="F10" s="395" t="s">
        <v>51</v>
      </c>
      <c r="G10" s="396" t="s">
        <v>2589</v>
      </c>
      <c r="H10" s="397" t="s">
        <v>2590</v>
      </c>
    </row>
    <row r="11" spans="1:10" s="399" customFormat="1">
      <c r="A11" s="399" t="s">
        <v>2591</v>
      </c>
      <c r="H11" s="400"/>
    </row>
    <row r="12" spans="1:10">
      <c r="A12" s="481"/>
      <c r="D12" s="401">
        <f>B12-C12</f>
        <v>0</v>
      </c>
      <c r="E12" s="401">
        <f>D12*18%</f>
        <v>0</v>
      </c>
      <c r="F12" s="401">
        <f>D12+E12</f>
        <v>0</v>
      </c>
      <c r="G12" s="402">
        <f>G33</f>
        <v>1.8358523962188025</v>
      </c>
      <c r="H12" s="403">
        <f>(F12*G12)+F12</f>
        <v>0</v>
      </c>
      <c r="J12" s="480">
        <f>H14/7</f>
        <v>1101.9337285714284</v>
      </c>
    </row>
    <row r="13" spans="1:10">
      <c r="A13" s="481" t="s">
        <v>2827</v>
      </c>
      <c r="B13" s="401">
        <v>2305.09</v>
      </c>
      <c r="D13" s="401">
        <f>B13-C13</f>
        <v>2305.09</v>
      </c>
      <c r="E13" s="401">
        <f>D13*18%</f>
        <v>414.9162</v>
      </c>
      <c r="F13" s="401">
        <f>D13+E13</f>
        <v>2720.0062000000003</v>
      </c>
      <c r="G13" s="402">
        <f>G12</f>
        <v>1.8358523962188025</v>
      </c>
      <c r="H13" s="403">
        <f>(F13*G13)+F13</f>
        <v>7713.5360999999994</v>
      </c>
    </row>
    <row r="14" spans="1:10">
      <c r="A14" s="481" t="s">
        <v>2827</v>
      </c>
      <c r="B14" s="401">
        <v>2305.09</v>
      </c>
      <c r="D14" s="401">
        <f>B14-C14</f>
        <v>2305.09</v>
      </c>
      <c r="E14" s="401">
        <f>D14*18%</f>
        <v>414.9162</v>
      </c>
      <c r="F14" s="401">
        <f>D14+E14</f>
        <v>2720.0062000000003</v>
      </c>
      <c r="G14" s="402">
        <f>G13</f>
        <v>1.8358523962188025</v>
      </c>
      <c r="H14" s="403">
        <f>(F14*G14)+F14</f>
        <v>7713.5360999999994</v>
      </c>
    </row>
    <row r="15" spans="1:10">
      <c r="B15" s="404">
        <f>SUM(B12:B14)</f>
        <v>4610.18</v>
      </c>
      <c r="C15" s="404">
        <f>SUM(C12:C14)</f>
        <v>0</v>
      </c>
      <c r="D15" s="404">
        <f>SUM(D12:D14)</f>
        <v>4610.18</v>
      </c>
      <c r="E15" s="404">
        <f>SUM(E12:E14)</f>
        <v>829.83240000000001</v>
      </c>
      <c r="F15" s="404">
        <f>SUM(F12:F14)</f>
        <v>5440.0124000000005</v>
      </c>
      <c r="G15" s="404"/>
      <c r="H15" s="405">
        <f>SUM(H12:H14)</f>
        <v>15427.072199999999</v>
      </c>
    </row>
    <row r="16" spans="1:10">
      <c r="B16" s="406"/>
      <c r="C16" s="406"/>
      <c r="D16" s="406"/>
      <c r="E16" s="406"/>
      <c r="F16" s="406"/>
      <c r="G16" s="406"/>
      <c r="H16" s="407"/>
    </row>
    <row r="17" spans="1:8" s="399" customFormat="1">
      <c r="A17" s="399" t="s">
        <v>2594</v>
      </c>
      <c r="B17" s="408"/>
      <c r="C17" s="408"/>
      <c r="D17" s="408"/>
      <c r="E17" s="408"/>
      <c r="F17" s="408"/>
      <c r="G17" s="409"/>
      <c r="H17" s="410"/>
    </row>
    <row r="18" spans="1:8">
      <c r="A18" s="481" t="s">
        <v>2777</v>
      </c>
      <c r="B18" s="401">
        <v>388.14</v>
      </c>
      <c r="C18" s="401">
        <v>0</v>
      </c>
      <c r="D18" s="401">
        <f>B18-C18</f>
        <v>388.14</v>
      </c>
      <c r="E18" s="401">
        <f>D18*18%</f>
        <v>69.865200000000002</v>
      </c>
      <c r="F18" s="401">
        <f>D18+E18</f>
        <v>458.0052</v>
      </c>
      <c r="G18" s="402">
        <v>0</v>
      </c>
      <c r="H18" s="403">
        <f>F18*G18</f>
        <v>0</v>
      </c>
    </row>
    <row r="19" spans="1:8">
      <c r="A19" s="481" t="s">
        <v>2782</v>
      </c>
      <c r="B19" s="482">
        <v>952.53</v>
      </c>
      <c r="C19" s="401">
        <v>0</v>
      </c>
      <c r="D19" s="401">
        <f t="shared" ref="D19:D28" si="0">B19-C19</f>
        <v>952.53</v>
      </c>
      <c r="E19" s="401">
        <f t="shared" ref="E19:E28" si="1">D19*18%</f>
        <v>171.4554</v>
      </c>
      <c r="F19" s="401">
        <f t="shared" ref="F19:F28" si="2">D19+E19</f>
        <v>1123.9854</v>
      </c>
      <c r="G19" s="402">
        <v>0</v>
      </c>
      <c r="H19" s="403">
        <f t="shared" ref="H19:H28" si="3">F19*G19</f>
        <v>0</v>
      </c>
    </row>
    <row r="20" spans="1:8">
      <c r="A20" s="481" t="s">
        <v>2773</v>
      </c>
      <c r="C20" s="401">
        <v>0</v>
      </c>
      <c r="D20" s="401">
        <f t="shared" si="0"/>
        <v>0</v>
      </c>
      <c r="E20" s="401">
        <f t="shared" si="1"/>
        <v>0</v>
      </c>
      <c r="F20" s="401">
        <f t="shared" si="2"/>
        <v>0</v>
      </c>
      <c r="G20" s="402">
        <v>0</v>
      </c>
      <c r="H20" s="403">
        <f t="shared" si="3"/>
        <v>0</v>
      </c>
    </row>
    <row r="21" spans="1:8">
      <c r="A21" s="481" t="s">
        <v>2774</v>
      </c>
      <c r="B21" s="401">
        <v>132.19999999999999</v>
      </c>
      <c r="C21" s="401">
        <v>0</v>
      </c>
      <c r="D21" s="401">
        <f t="shared" si="0"/>
        <v>132.19999999999999</v>
      </c>
      <c r="E21" s="401">
        <f t="shared" si="1"/>
        <v>23.795999999999996</v>
      </c>
      <c r="F21" s="401">
        <f t="shared" si="2"/>
        <v>155.99599999999998</v>
      </c>
      <c r="G21" s="402">
        <v>0</v>
      </c>
      <c r="H21" s="403">
        <f t="shared" si="3"/>
        <v>0</v>
      </c>
    </row>
    <row r="22" spans="1:8">
      <c r="A22" s="481" t="s">
        <v>2775</v>
      </c>
      <c r="B22" s="401">
        <v>132.19999999999999</v>
      </c>
      <c r="C22" s="401">
        <v>0</v>
      </c>
      <c r="D22" s="401">
        <f t="shared" si="0"/>
        <v>132.19999999999999</v>
      </c>
      <c r="E22" s="401">
        <f t="shared" si="1"/>
        <v>23.795999999999996</v>
      </c>
      <c r="F22" s="401">
        <f t="shared" si="2"/>
        <v>155.99599999999998</v>
      </c>
      <c r="G22" s="402">
        <v>0</v>
      </c>
      <c r="H22" s="403">
        <f t="shared" si="3"/>
        <v>0</v>
      </c>
    </row>
    <row r="23" spans="1:8">
      <c r="A23" s="481" t="s">
        <v>2776</v>
      </c>
      <c r="B23" s="401">
        <v>738.98</v>
      </c>
      <c r="C23" s="401">
        <v>0</v>
      </c>
      <c r="D23" s="401">
        <f t="shared" si="0"/>
        <v>738.98</v>
      </c>
      <c r="E23" s="401">
        <f t="shared" si="1"/>
        <v>133.0164</v>
      </c>
      <c r="F23" s="401">
        <f t="shared" si="2"/>
        <v>871.99639999999999</v>
      </c>
      <c r="G23" s="402">
        <v>0</v>
      </c>
      <c r="H23" s="403">
        <f t="shared" si="3"/>
        <v>0</v>
      </c>
    </row>
    <row r="24" spans="1:8">
      <c r="A24" s="481" t="s">
        <v>2777</v>
      </c>
      <c r="C24" s="401">
        <v>0</v>
      </c>
      <c r="D24" s="401">
        <f t="shared" si="0"/>
        <v>0</v>
      </c>
      <c r="E24" s="401">
        <f t="shared" si="1"/>
        <v>0</v>
      </c>
      <c r="F24" s="401">
        <f t="shared" si="2"/>
        <v>0</v>
      </c>
      <c r="G24" s="402">
        <v>0</v>
      </c>
      <c r="H24" s="403">
        <f t="shared" si="3"/>
        <v>0</v>
      </c>
    </row>
    <row r="25" spans="1:8">
      <c r="A25" s="481" t="s">
        <v>2778</v>
      </c>
      <c r="B25" s="401">
        <v>2019.86</v>
      </c>
      <c r="C25" s="401">
        <v>0</v>
      </c>
      <c r="D25" s="401">
        <f t="shared" si="0"/>
        <v>2019.86</v>
      </c>
      <c r="E25" s="401">
        <f t="shared" si="1"/>
        <v>363.57479999999998</v>
      </c>
      <c r="F25" s="401">
        <f t="shared" si="2"/>
        <v>2383.4348</v>
      </c>
      <c r="G25" s="402">
        <v>0</v>
      </c>
      <c r="H25" s="403">
        <f t="shared" si="3"/>
        <v>0</v>
      </c>
    </row>
    <row r="26" spans="1:8">
      <c r="A26" s="481" t="s">
        <v>2826</v>
      </c>
      <c r="B26" s="401">
        <v>4099.7</v>
      </c>
      <c r="C26" s="401">
        <v>0</v>
      </c>
      <c r="D26" s="401">
        <f t="shared" si="0"/>
        <v>4099.7</v>
      </c>
      <c r="E26" s="401">
        <f t="shared" si="1"/>
        <v>737.94599999999991</v>
      </c>
      <c r="F26" s="401">
        <f t="shared" si="2"/>
        <v>4837.6459999999997</v>
      </c>
      <c r="G26" s="402">
        <v>0</v>
      </c>
      <c r="H26" s="403">
        <f t="shared" si="3"/>
        <v>0</v>
      </c>
    </row>
    <row r="27" spans="1:8">
      <c r="A27" s="481" t="s">
        <v>2780</v>
      </c>
      <c r="C27" s="401">
        <v>0</v>
      </c>
      <c r="D27" s="401">
        <f t="shared" si="0"/>
        <v>0</v>
      </c>
      <c r="E27" s="401">
        <f t="shared" si="1"/>
        <v>0</v>
      </c>
      <c r="F27" s="401">
        <f t="shared" si="2"/>
        <v>0</v>
      </c>
      <c r="G27" s="402">
        <v>0</v>
      </c>
      <c r="H27" s="403">
        <f t="shared" si="3"/>
        <v>0</v>
      </c>
    </row>
    <row r="28" spans="1:8">
      <c r="A28" s="481" t="s">
        <v>2781</v>
      </c>
      <c r="C28" s="401">
        <v>0</v>
      </c>
      <c r="D28" s="401">
        <f t="shared" si="0"/>
        <v>0</v>
      </c>
      <c r="E28" s="401">
        <f t="shared" si="1"/>
        <v>0</v>
      </c>
      <c r="F28" s="401">
        <f t="shared" si="2"/>
        <v>0</v>
      </c>
      <c r="G28" s="402">
        <v>0</v>
      </c>
      <c r="H28" s="403">
        <f t="shared" si="3"/>
        <v>0</v>
      </c>
    </row>
    <row r="29" spans="1:8">
      <c r="B29" s="404">
        <f>SUM(B18:B28)</f>
        <v>8463.61</v>
      </c>
      <c r="C29" s="404">
        <f>SUM(C18:C28)</f>
        <v>0</v>
      </c>
      <c r="D29" s="404">
        <f>SUM(D18:D28)</f>
        <v>8463.61</v>
      </c>
      <c r="E29" s="404">
        <f>SUM(E18:E28)</f>
        <v>1523.4497999999999</v>
      </c>
      <c r="F29" s="404">
        <f>SUM(F18:F28)</f>
        <v>9987.0597999999991</v>
      </c>
      <c r="G29" s="404"/>
      <c r="H29" s="405">
        <f>SUM(H18:H28)</f>
        <v>0</v>
      </c>
    </row>
    <row r="30" spans="1:8">
      <c r="F30" s="401"/>
    </row>
    <row r="31" spans="1:8" ht="13.5" thickBot="1">
      <c r="B31" s="411">
        <f>SUM(B29,B15)</f>
        <v>13073.79</v>
      </c>
      <c r="C31" s="411">
        <f>SUM(C29,C15)</f>
        <v>0</v>
      </c>
      <c r="D31" s="411">
        <f>SUM(D29,D15)</f>
        <v>13073.79</v>
      </c>
      <c r="E31" s="411">
        <f>SUM(E29,E15)</f>
        <v>2353.2821999999996</v>
      </c>
      <c r="F31" s="411">
        <f>SUM(F29,F15)</f>
        <v>15427.072199999999</v>
      </c>
      <c r="G31" s="411"/>
      <c r="H31" s="412">
        <f>SUM(H29,H15)</f>
        <v>15427.072199999999</v>
      </c>
    </row>
    <row r="32" spans="1:8" ht="13.5" thickTop="1"/>
    <row r="33" spans="1:8" s="413" customFormat="1">
      <c r="A33" s="413" t="s">
        <v>2597</v>
      </c>
      <c r="B33" s="414"/>
      <c r="C33" s="414"/>
      <c r="D33" s="414"/>
      <c r="E33" s="414"/>
      <c r="F33" s="415"/>
      <c r="G33" s="402">
        <f>F29/F15</f>
        <v>1.8358523962188025</v>
      </c>
      <c r="H33" s="416"/>
    </row>
  </sheetData>
  <mergeCells count="3">
    <mergeCell ref="A1:H1"/>
    <mergeCell ref="A2:H2"/>
    <mergeCell ref="A3:H3"/>
  </mergeCells>
  <printOptions horizontalCentered="1"/>
  <pageMargins left="0.78740157480314965" right="0.78740157480314965" top="0.98425196850393704" bottom="0.98425196850393704" header="0" footer="0"/>
  <pageSetup scale="95" orientation="landscape" r:id="rId1"/>
  <headerFooter alignWithMargins="0"/>
  <legacyDrawing r:id="rId2"/>
  <oleObjects>
    <oleObject progId="Word.Document.8" shapeId="4097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59999389629810485"/>
    <pageSetUpPr fitToPage="1"/>
  </sheetPr>
  <dimension ref="A1:V23"/>
  <sheetViews>
    <sheetView zoomScaleNormal="100" workbookViewId="0">
      <pane xSplit="2" ySplit="6" topLeftCell="M7" activePane="bottomRight" state="frozen"/>
      <selection sqref="A1:S2"/>
      <selection pane="topRight" sqref="A1:S2"/>
      <selection pane="bottomLeft" sqref="A1:S2"/>
      <selection pane="bottomRight" activeCell="O13" sqref="O13"/>
    </sheetView>
  </sheetViews>
  <sheetFormatPr baseColWidth="10" defaultRowHeight="15.75"/>
  <cols>
    <col min="1" max="1" width="8.7109375" style="4" customWidth="1"/>
    <col min="2" max="2" width="41.7109375" style="5" customWidth="1"/>
    <col min="3" max="3" width="16.42578125" style="4" customWidth="1"/>
    <col min="4" max="4" width="22.5703125" style="4" customWidth="1"/>
    <col min="5" max="5" width="24.28515625" style="4" customWidth="1"/>
    <col min="6" max="6" width="25.7109375" style="4" customWidth="1"/>
    <col min="7" max="7" width="12.42578125" style="4" customWidth="1"/>
    <col min="8" max="9" width="6.28515625" style="15" hidden="1" customWidth="1"/>
    <col min="10" max="10" width="6.28515625" style="16" hidden="1" customWidth="1"/>
    <col min="11" max="11" width="12.140625" style="4" customWidth="1"/>
    <col min="12" max="12" width="16.7109375" style="4" customWidth="1"/>
    <col min="13" max="13" width="11.42578125" style="4"/>
    <col min="14" max="15" width="14.7109375" style="6" customWidth="1"/>
    <col min="16" max="17" width="10.7109375" style="4" customWidth="1"/>
    <col min="18" max="18" width="14" style="6" bestFit="1" customWidth="1"/>
    <col min="19" max="19" width="14.42578125" style="6" bestFit="1" customWidth="1"/>
    <col min="20" max="20" width="15.140625" style="6" customWidth="1"/>
    <col min="21" max="16384" width="11.42578125" style="4"/>
  </cols>
  <sheetData>
    <row r="1" spans="1:22" s="1" customFormat="1" ht="20.25">
      <c r="A1" s="520" t="s">
        <v>0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  <c r="S1" s="520"/>
      <c r="T1" s="520"/>
    </row>
    <row r="2" spans="1:22" s="2" customFormat="1" ht="20.25">
      <c r="A2" s="521" t="s">
        <v>1</v>
      </c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521"/>
      <c r="Q2" s="521"/>
      <c r="R2" s="521"/>
      <c r="S2" s="521"/>
      <c r="T2" s="521"/>
    </row>
    <row r="3" spans="1:22" s="3" customFormat="1" ht="20.25">
      <c r="A3" s="520" t="str">
        <f>'Equipos de Producción'!A3:S3</f>
        <v>(Al 30 de Abril del 2014)</v>
      </c>
      <c r="B3" s="520"/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520"/>
      <c r="T3" s="520"/>
    </row>
    <row r="4" spans="1:22" s="3" customFormat="1" ht="12.75">
      <c r="A4" s="293"/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V4" s="180">
        <f>'Equipos de Producción'!U4</f>
        <v>41759</v>
      </c>
    </row>
    <row r="5" spans="1:22">
      <c r="H5" s="522" t="s">
        <v>2</v>
      </c>
      <c r="I5" s="523"/>
      <c r="J5" s="524"/>
      <c r="R5" s="525" t="s">
        <v>3</v>
      </c>
      <c r="S5" s="525"/>
      <c r="V5" s="110"/>
    </row>
    <row r="6" spans="1:22" s="13" customFormat="1" ht="31.5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8" t="s">
        <v>11</v>
      </c>
      <c r="I6" s="8" t="s">
        <v>12</v>
      </c>
      <c r="J6" s="9" t="s">
        <v>13</v>
      </c>
      <c r="K6" s="7" t="s">
        <v>14</v>
      </c>
      <c r="L6" s="7" t="s">
        <v>15</v>
      </c>
      <c r="M6" s="7" t="s">
        <v>16</v>
      </c>
      <c r="N6" s="10" t="s">
        <v>17</v>
      </c>
      <c r="O6" s="10" t="s">
        <v>18</v>
      </c>
      <c r="P6" s="7" t="s">
        <v>19</v>
      </c>
      <c r="Q6" s="11" t="s">
        <v>20</v>
      </c>
      <c r="R6" s="10" t="s">
        <v>21</v>
      </c>
      <c r="S6" s="12" t="s">
        <v>2524</v>
      </c>
      <c r="T6" s="12" t="s">
        <v>23</v>
      </c>
      <c r="V6" s="173" t="s">
        <v>867</v>
      </c>
    </row>
    <row r="7" spans="1:22">
      <c r="A7" s="4" t="s">
        <v>24</v>
      </c>
      <c r="B7" s="5" t="s">
        <v>25</v>
      </c>
      <c r="C7" s="4" t="s">
        <v>26</v>
      </c>
      <c r="D7" s="4" t="s">
        <v>27</v>
      </c>
      <c r="E7" s="14" t="s">
        <v>28</v>
      </c>
      <c r="F7" s="4" t="s">
        <v>29</v>
      </c>
      <c r="G7" s="220" t="str">
        <f t="shared" ref="G7:G12" si="0">CONCATENATE(H7,"/",I7,"/",J7,)</f>
        <v>6/8/2003</v>
      </c>
      <c r="H7" s="15">
        <v>6</v>
      </c>
      <c r="I7" s="15">
        <v>8</v>
      </c>
      <c r="J7" s="16">
        <v>2003</v>
      </c>
      <c r="K7" s="4" t="s">
        <v>30</v>
      </c>
      <c r="L7" s="17">
        <v>442</v>
      </c>
      <c r="M7" s="4" t="s">
        <v>31</v>
      </c>
      <c r="N7" s="6">
        <v>903735</v>
      </c>
      <c r="O7" s="6" t="s">
        <v>32</v>
      </c>
      <c r="P7" s="4">
        <v>2</v>
      </c>
      <c r="Q7" s="4">
        <v>5</v>
      </c>
      <c r="R7" s="6">
        <v>0</v>
      </c>
      <c r="S7" s="6">
        <v>963982.94500000007</v>
      </c>
      <c r="T7" s="6">
        <v>1</v>
      </c>
      <c r="V7" s="121">
        <f t="shared" ref="V7:V12" si="1">IF((DATEDIF(G7,V$4,"m"))&gt;=60,60,(DATEDIF(G7,V$4,"m")))</f>
        <v>60</v>
      </c>
    </row>
    <row r="8" spans="1:22">
      <c r="A8" s="4" t="s">
        <v>33</v>
      </c>
      <c r="B8" s="18" t="s">
        <v>34</v>
      </c>
      <c r="C8" s="4" t="s">
        <v>26</v>
      </c>
      <c r="D8" s="4" t="s">
        <v>35</v>
      </c>
      <c r="E8" s="4" t="s">
        <v>36</v>
      </c>
      <c r="G8" s="220" t="str">
        <f t="shared" si="0"/>
        <v>31/3/2008</v>
      </c>
      <c r="H8" s="15">
        <v>31</v>
      </c>
      <c r="I8" s="15">
        <v>3</v>
      </c>
      <c r="J8" s="16">
        <v>2008</v>
      </c>
      <c r="K8" s="4" t="s">
        <v>37</v>
      </c>
      <c r="L8" s="17">
        <v>1918</v>
      </c>
      <c r="M8" s="4" t="s">
        <v>31</v>
      </c>
      <c r="N8" s="6">
        <v>1247716.67</v>
      </c>
      <c r="O8" s="19" t="s">
        <v>32</v>
      </c>
      <c r="P8" s="4">
        <v>2</v>
      </c>
      <c r="Q8" s="4">
        <v>5</v>
      </c>
      <c r="R8" s="6">
        <f t="shared" ref="R8:R12" si="2">((N8-1)/(Q8*12))</f>
        <v>20795.261166666667</v>
      </c>
      <c r="S8" s="6">
        <f t="shared" ref="S8:S11" si="3">R8*V8</f>
        <v>1247715.67</v>
      </c>
      <c r="T8" s="6">
        <f t="shared" ref="T8:T12" si="4">N8-S8</f>
        <v>1</v>
      </c>
      <c r="V8" s="121">
        <f>IF((DATEDIF(G8,V$4,"m"))&gt;=60,60,(DATEDIF(G8,V$4,"m")))</f>
        <v>60</v>
      </c>
    </row>
    <row r="9" spans="1:22" ht="22.5" customHeight="1">
      <c r="A9" s="4" t="s">
        <v>38</v>
      </c>
      <c r="B9" s="5" t="s">
        <v>39</v>
      </c>
      <c r="C9" s="4" t="s">
        <v>26</v>
      </c>
      <c r="D9" s="4" t="s">
        <v>40</v>
      </c>
      <c r="E9" s="4" t="s">
        <v>41</v>
      </c>
      <c r="G9" s="220" t="str">
        <f t="shared" si="0"/>
        <v>31/3/2008</v>
      </c>
      <c r="H9" s="15">
        <v>31</v>
      </c>
      <c r="I9" s="15">
        <v>3</v>
      </c>
      <c r="J9" s="16">
        <v>2008</v>
      </c>
      <c r="K9" s="4" t="s">
        <v>37</v>
      </c>
      <c r="L9" s="17">
        <v>1918</v>
      </c>
      <c r="M9" s="4" t="s">
        <v>31</v>
      </c>
      <c r="N9" s="6">
        <v>800171.67</v>
      </c>
      <c r="O9" s="6" t="s">
        <v>32</v>
      </c>
      <c r="P9" s="4">
        <v>2</v>
      </c>
      <c r="Q9" s="4">
        <v>5</v>
      </c>
      <c r="R9" s="6">
        <f t="shared" si="2"/>
        <v>13336.177833333333</v>
      </c>
      <c r="S9" s="6">
        <f t="shared" si="3"/>
        <v>800170.67</v>
      </c>
      <c r="T9" s="6">
        <f t="shared" si="4"/>
        <v>1</v>
      </c>
      <c r="V9" s="121">
        <f t="shared" si="1"/>
        <v>60</v>
      </c>
    </row>
    <row r="10" spans="1:22">
      <c r="A10" s="4" t="s">
        <v>42</v>
      </c>
      <c r="B10" s="5" t="s">
        <v>39</v>
      </c>
      <c r="C10" s="4" t="s">
        <v>26</v>
      </c>
      <c r="D10" s="4" t="s">
        <v>40</v>
      </c>
      <c r="E10" s="4" t="s">
        <v>43</v>
      </c>
      <c r="G10" s="220" t="str">
        <f t="shared" si="0"/>
        <v>31/3/2008</v>
      </c>
      <c r="H10" s="15">
        <v>31</v>
      </c>
      <c r="I10" s="15">
        <v>3</v>
      </c>
      <c r="J10" s="16">
        <v>2008</v>
      </c>
      <c r="K10" s="4" t="s">
        <v>37</v>
      </c>
      <c r="L10" s="17">
        <v>1918</v>
      </c>
      <c r="M10" s="4" t="s">
        <v>31</v>
      </c>
      <c r="N10" s="6">
        <v>798171.66</v>
      </c>
      <c r="O10" s="6" t="s">
        <v>32</v>
      </c>
      <c r="P10" s="4">
        <v>2</v>
      </c>
      <c r="Q10" s="4">
        <v>5</v>
      </c>
      <c r="R10" s="6">
        <f t="shared" si="2"/>
        <v>13302.844333333334</v>
      </c>
      <c r="S10" s="6">
        <f t="shared" si="3"/>
        <v>798170.66</v>
      </c>
      <c r="T10" s="6">
        <f t="shared" si="4"/>
        <v>1</v>
      </c>
      <c r="V10" s="121">
        <f t="shared" si="1"/>
        <v>60</v>
      </c>
    </row>
    <row r="11" spans="1:22" ht="31.5">
      <c r="B11" s="5" t="s">
        <v>45</v>
      </c>
      <c r="C11" s="4" t="s">
        <v>46</v>
      </c>
      <c r="D11" s="4" t="s">
        <v>47</v>
      </c>
      <c r="F11" s="5" t="s">
        <v>48</v>
      </c>
      <c r="G11" s="220" t="str">
        <f t="shared" si="0"/>
        <v>28/9/2010</v>
      </c>
      <c r="H11" s="15">
        <v>28</v>
      </c>
      <c r="I11" s="15">
        <v>9</v>
      </c>
      <c r="J11" s="16">
        <v>2010</v>
      </c>
      <c r="K11" s="4" t="s">
        <v>30</v>
      </c>
      <c r="L11" s="17">
        <v>6301</v>
      </c>
      <c r="M11" s="4" t="s">
        <v>31</v>
      </c>
      <c r="N11" s="6">
        <v>1729686.75</v>
      </c>
      <c r="O11" s="6" t="s">
        <v>32</v>
      </c>
      <c r="P11" s="4">
        <v>2</v>
      </c>
      <c r="Q11" s="4">
        <v>5</v>
      </c>
      <c r="R11" s="6">
        <f t="shared" si="2"/>
        <v>28828.095833333333</v>
      </c>
      <c r="S11" s="6">
        <f t="shared" si="3"/>
        <v>1239608.1208333333</v>
      </c>
      <c r="T11" s="6">
        <f t="shared" si="4"/>
        <v>490078.62916666665</v>
      </c>
      <c r="V11" s="121">
        <f t="shared" si="1"/>
        <v>43</v>
      </c>
    </row>
    <row r="12" spans="1:22" ht="31.5">
      <c r="B12" s="5" t="s">
        <v>45</v>
      </c>
      <c r="C12" s="4" t="s">
        <v>46</v>
      </c>
      <c r="D12" s="4" t="s">
        <v>47</v>
      </c>
      <c r="F12" s="5" t="s">
        <v>48</v>
      </c>
      <c r="G12" s="220" t="str">
        <f t="shared" si="0"/>
        <v>28/9/2010</v>
      </c>
      <c r="H12" s="15">
        <v>28</v>
      </c>
      <c r="I12" s="15">
        <v>9</v>
      </c>
      <c r="J12" s="16">
        <v>2010</v>
      </c>
      <c r="K12" s="4" t="s">
        <v>30</v>
      </c>
      <c r="L12" s="17">
        <v>6301</v>
      </c>
      <c r="M12" s="4" t="s">
        <v>31</v>
      </c>
      <c r="N12" s="6">
        <v>1729686.75</v>
      </c>
      <c r="O12" s="6" t="s">
        <v>32</v>
      </c>
      <c r="P12" s="4">
        <v>2</v>
      </c>
      <c r="Q12" s="4">
        <v>5</v>
      </c>
      <c r="R12" s="6">
        <f t="shared" si="2"/>
        <v>28828.095833333333</v>
      </c>
      <c r="S12" s="6">
        <f>R12*V12</f>
        <v>1239608.1208333333</v>
      </c>
      <c r="T12" s="6">
        <f t="shared" si="4"/>
        <v>490078.62916666665</v>
      </c>
      <c r="V12" s="121">
        <f t="shared" si="1"/>
        <v>43</v>
      </c>
    </row>
    <row r="13" spans="1:22" s="41" customFormat="1" ht="31.5">
      <c r="B13" s="42" t="s">
        <v>49</v>
      </c>
      <c r="F13" s="42"/>
      <c r="H13" s="43"/>
      <c r="I13" s="43"/>
      <c r="J13" s="44"/>
      <c r="M13" s="41" t="s">
        <v>31</v>
      </c>
      <c r="N13" s="45">
        <v>1128390.1399999999</v>
      </c>
      <c r="O13" s="45" t="s">
        <v>50</v>
      </c>
      <c r="P13" s="41">
        <v>2</v>
      </c>
      <c r="Q13" s="41">
        <v>5</v>
      </c>
      <c r="R13" s="45">
        <v>18806.5</v>
      </c>
      <c r="S13" s="45">
        <f>959131.61+R13</f>
        <v>977938.11</v>
      </c>
      <c r="T13" s="45">
        <f>N13-S13</f>
        <v>150452.02999999991</v>
      </c>
    </row>
    <row r="14" spans="1:22" s="20" customFormat="1" ht="16.5" thickBot="1">
      <c r="A14" s="20" t="s">
        <v>44</v>
      </c>
      <c r="B14" s="21"/>
      <c r="H14" s="22"/>
      <c r="I14" s="22"/>
      <c r="J14" s="23"/>
      <c r="N14" s="24">
        <f>SUM(N7:N13)</f>
        <v>8337558.6399999997</v>
      </c>
      <c r="O14" s="24"/>
      <c r="P14" s="25"/>
      <c r="Q14" s="25"/>
      <c r="R14" s="24">
        <f>SUM(R7:R13)</f>
        <v>123896.97500000001</v>
      </c>
      <c r="S14" s="24">
        <f>SUM(S7:S13)</f>
        <v>7267194.2966666678</v>
      </c>
      <c r="T14" s="24">
        <f>SUM(T7:T13)</f>
        <v>1130613.2883333331</v>
      </c>
    </row>
    <row r="15" spans="1:22" ht="16.5" thickTop="1"/>
    <row r="16" spans="1:22" ht="31.5">
      <c r="B16" s="512" t="s">
        <v>2824</v>
      </c>
      <c r="C16" s="4" t="s">
        <v>2822</v>
      </c>
      <c r="D16" s="4" t="s">
        <v>2823</v>
      </c>
      <c r="E16" s="4" t="s">
        <v>2821</v>
      </c>
      <c r="F16" s="5" t="s">
        <v>2820</v>
      </c>
      <c r="G16" s="220">
        <v>41753</v>
      </c>
      <c r="H16" s="15">
        <v>28</v>
      </c>
      <c r="I16" s="15">
        <v>9</v>
      </c>
      <c r="J16" s="511">
        <v>2010</v>
      </c>
      <c r="K16" s="4" t="s">
        <v>30</v>
      </c>
      <c r="L16" s="17" t="s">
        <v>2818</v>
      </c>
      <c r="M16" s="4" t="s">
        <v>31</v>
      </c>
      <c r="N16" s="6">
        <v>1291248</v>
      </c>
      <c r="O16" s="6" t="s">
        <v>32</v>
      </c>
      <c r="P16" s="4">
        <v>2</v>
      </c>
      <c r="Q16" s="4">
        <v>5</v>
      </c>
      <c r="R16" s="6">
        <f t="shared" ref="R16:R17" si="5">((N16-1)/(Q16*12))</f>
        <v>21520.783333333333</v>
      </c>
      <c r="S16" s="6">
        <f t="shared" ref="S16:S17" si="6">R16*V16</f>
        <v>0</v>
      </c>
      <c r="T16" s="6">
        <f t="shared" ref="T16:T17" si="7">N16-S16</f>
        <v>1291248</v>
      </c>
      <c r="V16" s="121">
        <f t="shared" ref="V16:V17" si="8">IF((DATEDIF(G16,V$4,"m"))&gt;=60,60,(DATEDIF(G16,V$4,"m")))</f>
        <v>0</v>
      </c>
    </row>
    <row r="17" spans="2:22" ht="31.5">
      <c r="B17" s="512" t="s">
        <v>2824</v>
      </c>
      <c r="C17" s="4" t="s">
        <v>2822</v>
      </c>
      <c r="D17" s="4" t="s">
        <v>2823</v>
      </c>
      <c r="E17" s="4" t="s">
        <v>2825</v>
      </c>
      <c r="F17" s="5" t="s">
        <v>2820</v>
      </c>
      <c r="G17" s="220">
        <v>41753</v>
      </c>
      <c r="H17" s="15">
        <v>28</v>
      </c>
      <c r="I17" s="15">
        <v>9</v>
      </c>
      <c r="J17" s="511">
        <v>2010</v>
      </c>
      <c r="K17" s="4" t="s">
        <v>30</v>
      </c>
      <c r="L17" s="17" t="s">
        <v>2819</v>
      </c>
      <c r="M17" s="4" t="s">
        <v>31</v>
      </c>
      <c r="N17" s="6">
        <v>1291248</v>
      </c>
      <c r="O17" s="6" t="s">
        <v>32</v>
      </c>
      <c r="P17" s="4">
        <v>2</v>
      </c>
      <c r="Q17" s="4">
        <v>5</v>
      </c>
      <c r="R17" s="6">
        <f t="shared" si="5"/>
        <v>21520.783333333333</v>
      </c>
      <c r="S17" s="6">
        <f t="shared" si="6"/>
        <v>0</v>
      </c>
      <c r="T17" s="6">
        <f t="shared" si="7"/>
        <v>1291248</v>
      </c>
      <c r="V17" s="121">
        <f t="shared" si="8"/>
        <v>0</v>
      </c>
    </row>
    <row r="18" spans="2:22" ht="16.5" thickBot="1">
      <c r="F18" s="5"/>
      <c r="G18" s="220"/>
      <c r="J18" s="511"/>
      <c r="L18" s="17"/>
      <c r="N18" s="24">
        <f>SUM(N16:N17)</f>
        <v>2582496</v>
      </c>
      <c r="O18" s="24"/>
      <c r="P18" s="25"/>
      <c r="Q18" s="25"/>
      <c r="R18" s="24">
        <f>SUM(R16:R17)</f>
        <v>43041.566666666666</v>
      </c>
      <c r="S18" s="24">
        <f>SUM(S16:S17)</f>
        <v>0</v>
      </c>
      <c r="T18" s="24">
        <f>SUM(T16:T17)</f>
        <v>2582496</v>
      </c>
      <c r="V18" s="121"/>
    </row>
    <row r="19" spans="2:22" ht="16.5" thickTop="1">
      <c r="F19" s="5"/>
      <c r="G19" s="220"/>
      <c r="J19" s="511"/>
      <c r="L19" s="17"/>
      <c r="V19" s="121"/>
    </row>
    <row r="20" spans="2:22" ht="16.5" thickBot="1">
      <c r="F20" s="5"/>
      <c r="G20" s="220"/>
      <c r="J20" s="511"/>
      <c r="L20" s="17"/>
      <c r="N20" s="24">
        <f>+N14+N18</f>
        <v>10920054.640000001</v>
      </c>
      <c r="O20" s="24"/>
      <c r="P20" s="25"/>
      <c r="Q20" s="25"/>
      <c r="R20" s="24">
        <f>+R14</f>
        <v>123896.97500000001</v>
      </c>
      <c r="S20" s="24">
        <f>+S14+S18</f>
        <v>7267194.2966666678</v>
      </c>
      <c r="T20" s="24">
        <f>+T14+T18</f>
        <v>3713109.2883333331</v>
      </c>
      <c r="V20" s="121"/>
    </row>
    <row r="21" spans="2:22" ht="16.5" thickTop="1"/>
    <row r="22" spans="2:22">
      <c r="R22" s="6">
        <f>+S14+R14</f>
        <v>7391091.2716666674</v>
      </c>
      <c r="S22" s="6">
        <v>5676940.0099999998</v>
      </c>
    </row>
    <row r="23" spans="2:22">
      <c r="R23" s="6">
        <v>5661617.7683333335</v>
      </c>
      <c r="S23" s="6">
        <f>+S22-S14</f>
        <v>-1590254.286666668</v>
      </c>
    </row>
  </sheetData>
  <sheetProtection sort="0" autoFilter="0"/>
  <mergeCells count="5">
    <mergeCell ref="A1:T1"/>
    <mergeCell ref="A2:T2"/>
    <mergeCell ref="A3:T3"/>
    <mergeCell ref="H5:J5"/>
    <mergeCell ref="R5:S5"/>
  </mergeCells>
  <printOptions horizontalCentered="1"/>
  <pageMargins left="0.78740157480314965" right="0.78740157480314965" top="0.98425196850393704" bottom="0.98425196850393704" header="0" footer="0"/>
  <pageSetup paperSize="5" scale="56" fitToHeight="2" orientation="landscape" r:id="rId1"/>
  <headerFooter alignWithMargins="0">
    <oddFooter>Página &amp;P&amp;R&amp;A</oddFooter>
  </headerFooter>
  <colBreaks count="1" manualBreakCount="1"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/>
  </sheetPr>
  <dimension ref="A1:X349"/>
  <sheetViews>
    <sheetView zoomScaleNormal="100" workbookViewId="0">
      <pane xSplit="2" ySplit="6" topLeftCell="P330" activePane="bottomRight" state="frozen"/>
      <selection sqref="A1:T2"/>
      <selection pane="topRight" sqref="A1:T2"/>
      <selection pane="bottomLeft" sqref="A1:T2"/>
      <selection pane="bottomRight" activeCell="R346" sqref="R346"/>
    </sheetView>
  </sheetViews>
  <sheetFormatPr baseColWidth="10" defaultColWidth="9.140625" defaultRowHeight="15.75"/>
  <cols>
    <col min="1" max="1" width="12.7109375" style="98" customWidth="1"/>
    <col min="2" max="2" width="38" style="98" customWidth="1"/>
    <col min="3" max="3" width="14.7109375" style="98" bestFit="1" customWidth="1"/>
    <col min="4" max="4" width="18.7109375" style="98" customWidth="1"/>
    <col min="5" max="5" width="25.42578125" style="98" customWidth="1"/>
    <col min="6" max="6" width="38" style="98" bestFit="1" customWidth="1"/>
    <col min="7" max="7" width="12.7109375" style="98" customWidth="1"/>
    <col min="8" max="9" width="6.7109375" style="114" hidden="1" customWidth="1"/>
    <col min="10" max="10" width="6.7109375" style="113" hidden="1" customWidth="1"/>
    <col min="11" max="11" width="12.7109375" style="98" customWidth="1"/>
    <col min="12" max="12" width="23.140625" style="98" bestFit="1" customWidth="1"/>
    <col min="13" max="13" width="12.7109375" style="98" customWidth="1"/>
    <col min="14" max="14" width="17.140625" style="112" customWidth="1"/>
    <col min="15" max="15" width="10.7109375" style="97" hidden="1" customWidth="1"/>
    <col min="16" max="16" width="18.42578125" style="97" customWidth="1"/>
    <col min="17" max="17" width="16" style="109" customWidth="1"/>
    <col min="18" max="18" width="15.7109375" style="112" customWidth="1"/>
    <col min="19" max="20" width="15.7109375" style="111" customWidth="1"/>
    <col min="21" max="21" width="10.5703125" style="97" customWidth="1"/>
    <col min="22" max="22" width="9.140625" style="97" customWidth="1"/>
    <col min="23" max="23" width="10.42578125" style="110" customWidth="1"/>
    <col min="24" max="16384" width="9.140625" style="97"/>
  </cols>
  <sheetData>
    <row r="1" spans="1:23" s="179" customFormat="1" ht="20.25">
      <c r="A1" s="529" t="s">
        <v>0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  <c r="R1" s="529"/>
      <c r="S1" s="529"/>
      <c r="T1" s="529"/>
      <c r="U1" s="295"/>
      <c r="W1" s="181"/>
    </row>
    <row r="2" spans="1:23" s="179" customFormat="1" ht="20.25">
      <c r="A2" s="527" t="s">
        <v>868</v>
      </c>
      <c r="B2" s="527"/>
      <c r="C2" s="527"/>
      <c r="D2" s="527"/>
      <c r="E2" s="527"/>
      <c r="F2" s="527"/>
      <c r="G2" s="527"/>
      <c r="H2" s="527"/>
      <c r="I2" s="527"/>
      <c r="J2" s="527"/>
      <c r="K2" s="527"/>
      <c r="L2" s="527"/>
      <c r="M2" s="527"/>
      <c r="N2" s="527"/>
      <c r="O2" s="527"/>
      <c r="P2" s="527"/>
      <c r="Q2" s="527"/>
      <c r="R2" s="527"/>
      <c r="S2" s="527"/>
      <c r="T2" s="527"/>
      <c r="W2" s="181"/>
    </row>
    <row r="3" spans="1:23" s="179" customFormat="1" ht="12.75">
      <c r="A3" s="530" t="str">
        <f>'Equipos de Producción'!A3:S3</f>
        <v>(Al 30 de Abril del 2014)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  <c r="S3" s="530"/>
      <c r="T3" s="530"/>
      <c r="U3" s="530"/>
      <c r="W3" s="181"/>
    </row>
    <row r="4" spans="1:23" s="179" customFormat="1">
      <c r="A4" s="294"/>
      <c r="B4" s="294"/>
      <c r="C4" s="294"/>
      <c r="D4" s="294"/>
      <c r="E4" s="294"/>
      <c r="F4" s="98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W4" s="180">
        <f>'Equipos de Producción'!$U$4</f>
        <v>41759</v>
      </c>
    </row>
    <row r="5" spans="1:23">
      <c r="H5" s="528" t="s">
        <v>2</v>
      </c>
      <c r="I5" s="528"/>
      <c r="J5" s="528"/>
      <c r="O5" s="178"/>
      <c r="R5" s="526" t="s">
        <v>3</v>
      </c>
      <c r="S5" s="526"/>
    </row>
    <row r="6" spans="1:23" s="172" customFormat="1" ht="31.5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177" t="s">
        <v>9</v>
      </c>
      <c r="G6" s="7" t="s">
        <v>10</v>
      </c>
      <c r="H6" s="176" t="s">
        <v>11</v>
      </c>
      <c r="I6" s="176" t="s">
        <v>12</v>
      </c>
      <c r="J6" s="175" t="s">
        <v>13</v>
      </c>
      <c r="K6" s="7" t="s">
        <v>14</v>
      </c>
      <c r="L6" s="7" t="s">
        <v>15</v>
      </c>
      <c r="M6" s="7" t="s">
        <v>16</v>
      </c>
      <c r="N6" s="10" t="s">
        <v>17</v>
      </c>
      <c r="O6" s="7" t="s">
        <v>19</v>
      </c>
      <c r="P6" s="174" t="s">
        <v>18</v>
      </c>
      <c r="Q6" s="11" t="s">
        <v>20</v>
      </c>
      <c r="R6" s="10" t="s">
        <v>21</v>
      </c>
      <c r="S6" s="10" t="s">
        <v>2524</v>
      </c>
      <c r="T6" s="12" t="s">
        <v>23</v>
      </c>
      <c r="U6" s="7" t="s">
        <v>56</v>
      </c>
      <c r="W6" s="173" t="s">
        <v>867</v>
      </c>
    </row>
    <row r="7" spans="1:23" s="294" customFormat="1">
      <c r="A7" s="98" t="s">
        <v>866</v>
      </c>
      <c r="B7" s="98" t="s">
        <v>840</v>
      </c>
      <c r="C7" s="98" t="s">
        <v>433</v>
      </c>
      <c r="D7" s="98" t="s">
        <v>763</v>
      </c>
      <c r="E7" s="98" t="s">
        <v>865</v>
      </c>
      <c r="F7" s="98" t="s">
        <v>448</v>
      </c>
      <c r="G7" s="159">
        <v>37755</v>
      </c>
      <c r="H7" s="114">
        <v>14</v>
      </c>
      <c r="I7" s="114">
        <v>5</v>
      </c>
      <c r="J7" s="113">
        <v>2003</v>
      </c>
      <c r="K7" s="98" t="s">
        <v>30</v>
      </c>
      <c r="L7" s="98">
        <v>11962</v>
      </c>
      <c r="M7" s="98" t="s">
        <v>349</v>
      </c>
      <c r="N7" s="168">
        <v>27700</v>
      </c>
      <c r="O7" s="169">
        <v>2</v>
      </c>
      <c r="P7" s="171" t="s">
        <v>815</v>
      </c>
      <c r="Q7" s="109">
        <v>3</v>
      </c>
      <c r="R7" s="112">
        <f t="shared" ref="R7:R70" si="0">(((N7)-1)/3)/12</f>
        <v>769.41666666666663</v>
      </c>
      <c r="S7" s="111">
        <f t="shared" ref="S7:S70" si="1">R7*W7</f>
        <v>27699</v>
      </c>
      <c r="T7" s="111">
        <f>N7-S7</f>
        <v>1</v>
      </c>
      <c r="U7" s="294">
        <v>1441</v>
      </c>
      <c r="W7" s="121">
        <f t="shared" ref="W7:W70" si="2">IF((DATEDIF(G7,W$4,"m"))&gt;=36,36,(DATEDIF(G7,W$4,"m")))</f>
        <v>36</v>
      </c>
    </row>
    <row r="8" spans="1:23" s="294" customFormat="1">
      <c r="A8" s="98" t="s">
        <v>864</v>
      </c>
      <c r="B8" s="98" t="s">
        <v>840</v>
      </c>
      <c r="C8" s="98" t="s">
        <v>433</v>
      </c>
      <c r="D8" s="98" t="s">
        <v>763</v>
      </c>
      <c r="E8" s="98" t="s">
        <v>863</v>
      </c>
      <c r="F8" s="98" t="s">
        <v>448</v>
      </c>
      <c r="G8" s="159">
        <v>37648</v>
      </c>
      <c r="H8" s="114">
        <v>27</v>
      </c>
      <c r="I8" s="114">
        <v>1</v>
      </c>
      <c r="J8" s="113">
        <v>2003</v>
      </c>
      <c r="K8" s="98" t="s">
        <v>30</v>
      </c>
      <c r="L8" s="98">
        <v>11749</v>
      </c>
      <c r="M8" s="98" t="s">
        <v>349</v>
      </c>
      <c r="N8" s="168">
        <v>23690</v>
      </c>
      <c r="O8" s="169">
        <v>2</v>
      </c>
      <c r="P8" s="294" t="s">
        <v>862</v>
      </c>
      <c r="Q8" s="109">
        <v>3</v>
      </c>
      <c r="R8" s="112">
        <f t="shared" si="0"/>
        <v>658.02777777777771</v>
      </c>
      <c r="S8" s="111">
        <f t="shared" si="1"/>
        <v>23688.999999999996</v>
      </c>
      <c r="T8" s="111">
        <f t="shared" ref="T8:T71" si="3">N8-S8</f>
        <v>1.000000000003638</v>
      </c>
      <c r="U8" s="294">
        <v>930</v>
      </c>
      <c r="W8" s="121">
        <f t="shared" si="2"/>
        <v>36</v>
      </c>
    </row>
    <row r="9" spans="1:23" s="294" customFormat="1">
      <c r="A9" s="98" t="s">
        <v>861</v>
      </c>
      <c r="B9" s="98" t="s">
        <v>726</v>
      </c>
      <c r="C9" s="98" t="s">
        <v>433</v>
      </c>
      <c r="D9" s="98" t="s">
        <v>638</v>
      </c>
      <c r="E9" s="98" t="s">
        <v>860</v>
      </c>
      <c r="F9" s="98" t="s">
        <v>448</v>
      </c>
      <c r="G9" s="159">
        <v>37648</v>
      </c>
      <c r="H9" s="114">
        <v>27</v>
      </c>
      <c r="I9" s="114">
        <v>1</v>
      </c>
      <c r="J9" s="113">
        <v>2003</v>
      </c>
      <c r="K9" s="98" t="s">
        <v>30</v>
      </c>
      <c r="L9" s="98">
        <v>11749</v>
      </c>
      <c r="M9" s="98" t="s">
        <v>349</v>
      </c>
      <c r="N9" s="168">
        <v>1</v>
      </c>
      <c r="O9" s="169">
        <v>2</v>
      </c>
      <c r="Q9" s="109">
        <v>3</v>
      </c>
      <c r="R9" s="112">
        <f t="shared" si="0"/>
        <v>0</v>
      </c>
      <c r="S9" s="111">
        <f t="shared" si="1"/>
        <v>0</v>
      </c>
      <c r="T9" s="111">
        <f t="shared" si="3"/>
        <v>1</v>
      </c>
      <c r="U9" s="294">
        <v>930</v>
      </c>
      <c r="W9" s="121">
        <f t="shared" si="2"/>
        <v>36</v>
      </c>
    </row>
    <row r="10" spans="1:23" s="294" customFormat="1">
      <c r="A10" s="98" t="s">
        <v>859</v>
      </c>
      <c r="B10" s="98" t="s">
        <v>858</v>
      </c>
      <c r="C10" s="98" t="s">
        <v>711</v>
      </c>
      <c r="D10" s="98"/>
      <c r="E10" s="98"/>
      <c r="F10" s="98"/>
      <c r="G10" s="98"/>
      <c r="H10" s="114"/>
      <c r="I10" s="114"/>
      <c r="J10" s="113"/>
      <c r="K10" s="98"/>
      <c r="L10" s="98"/>
      <c r="M10" s="98" t="s">
        <v>349</v>
      </c>
      <c r="N10" s="168">
        <v>1</v>
      </c>
      <c r="O10" s="169">
        <v>2</v>
      </c>
      <c r="Q10" s="109">
        <v>3</v>
      </c>
      <c r="R10" s="112">
        <f t="shared" si="0"/>
        <v>0</v>
      </c>
      <c r="S10" s="111">
        <f t="shared" si="1"/>
        <v>0</v>
      </c>
      <c r="T10" s="111">
        <f t="shared" si="3"/>
        <v>1</v>
      </c>
      <c r="W10" s="121">
        <f t="shared" si="2"/>
        <v>36</v>
      </c>
    </row>
    <row r="11" spans="1:23" s="294" customFormat="1">
      <c r="A11" s="98" t="s">
        <v>857</v>
      </c>
      <c r="B11" s="98" t="s">
        <v>856</v>
      </c>
      <c r="C11" s="98" t="s">
        <v>521</v>
      </c>
      <c r="D11" s="98" t="s">
        <v>855</v>
      </c>
      <c r="E11" s="98" t="s">
        <v>854</v>
      </c>
      <c r="F11" s="98"/>
      <c r="G11" s="98"/>
      <c r="H11" s="114"/>
      <c r="I11" s="114"/>
      <c r="J11" s="113"/>
      <c r="K11" s="98"/>
      <c r="L11" s="98"/>
      <c r="M11" s="98" t="s">
        <v>349</v>
      </c>
      <c r="N11" s="168">
        <v>1</v>
      </c>
      <c r="O11" s="169">
        <v>2</v>
      </c>
      <c r="Q11" s="109">
        <v>3</v>
      </c>
      <c r="R11" s="112">
        <f t="shared" si="0"/>
        <v>0</v>
      </c>
      <c r="S11" s="111">
        <f t="shared" si="1"/>
        <v>0</v>
      </c>
      <c r="T11" s="111">
        <f t="shared" si="3"/>
        <v>1</v>
      </c>
      <c r="W11" s="121">
        <f t="shared" si="2"/>
        <v>36</v>
      </c>
    </row>
    <row r="12" spans="1:23" s="294" customFormat="1">
      <c r="A12" s="98" t="s">
        <v>853</v>
      </c>
      <c r="B12" s="98" t="s">
        <v>852</v>
      </c>
      <c r="C12" s="98" t="s">
        <v>711</v>
      </c>
      <c r="D12" s="98"/>
      <c r="E12" s="98"/>
      <c r="F12" s="98"/>
      <c r="G12" s="98"/>
      <c r="H12" s="114"/>
      <c r="I12" s="114"/>
      <c r="J12" s="113"/>
      <c r="K12" s="98"/>
      <c r="L12" s="98"/>
      <c r="M12" s="98" t="s">
        <v>349</v>
      </c>
      <c r="N12" s="168">
        <v>1</v>
      </c>
      <c r="O12" s="169">
        <v>2</v>
      </c>
      <c r="Q12" s="109">
        <v>3</v>
      </c>
      <c r="R12" s="112">
        <f t="shared" si="0"/>
        <v>0</v>
      </c>
      <c r="S12" s="111">
        <f t="shared" si="1"/>
        <v>0</v>
      </c>
      <c r="T12" s="111">
        <f t="shared" si="3"/>
        <v>1</v>
      </c>
      <c r="W12" s="121">
        <f t="shared" si="2"/>
        <v>36</v>
      </c>
    </row>
    <row r="13" spans="1:23" s="294" customFormat="1">
      <c r="A13" s="98" t="s">
        <v>851</v>
      </c>
      <c r="B13" s="98" t="s">
        <v>840</v>
      </c>
      <c r="C13" s="98" t="s">
        <v>433</v>
      </c>
      <c r="D13" s="98" t="s">
        <v>763</v>
      </c>
      <c r="E13" s="98" t="s">
        <v>850</v>
      </c>
      <c r="F13" s="98"/>
      <c r="G13" s="98"/>
      <c r="H13" s="114"/>
      <c r="I13" s="114"/>
      <c r="J13" s="113"/>
      <c r="K13" s="98"/>
      <c r="L13" s="98"/>
      <c r="M13" s="98" t="s">
        <v>349</v>
      </c>
      <c r="N13" s="168">
        <v>1</v>
      </c>
      <c r="O13" s="169">
        <v>2</v>
      </c>
      <c r="P13" s="294" t="s">
        <v>849</v>
      </c>
      <c r="Q13" s="109">
        <v>3</v>
      </c>
      <c r="R13" s="112">
        <f t="shared" si="0"/>
        <v>0</v>
      </c>
      <c r="S13" s="111">
        <f t="shared" si="1"/>
        <v>0</v>
      </c>
      <c r="T13" s="111">
        <f t="shared" si="3"/>
        <v>1</v>
      </c>
      <c r="W13" s="121">
        <f t="shared" si="2"/>
        <v>36</v>
      </c>
    </row>
    <row r="14" spans="1:23" s="294" customFormat="1">
      <c r="A14" s="98" t="s">
        <v>848</v>
      </c>
      <c r="B14" s="98" t="s">
        <v>726</v>
      </c>
      <c r="C14" s="98" t="s">
        <v>433</v>
      </c>
      <c r="D14" s="98" t="s">
        <v>847</v>
      </c>
      <c r="E14" s="98" t="s">
        <v>846</v>
      </c>
      <c r="F14" s="98"/>
      <c r="G14" s="98"/>
      <c r="H14" s="114"/>
      <c r="I14" s="114"/>
      <c r="J14" s="113"/>
      <c r="K14" s="98"/>
      <c r="L14" s="98"/>
      <c r="M14" s="98" t="s">
        <v>349</v>
      </c>
      <c r="N14" s="168">
        <v>1</v>
      </c>
      <c r="O14" s="169">
        <v>2</v>
      </c>
      <c r="Q14" s="109">
        <v>3</v>
      </c>
      <c r="R14" s="112">
        <f t="shared" si="0"/>
        <v>0</v>
      </c>
      <c r="S14" s="111">
        <f t="shared" si="1"/>
        <v>0</v>
      </c>
      <c r="T14" s="111">
        <f t="shared" si="3"/>
        <v>1</v>
      </c>
      <c r="W14" s="121">
        <f t="shared" si="2"/>
        <v>36</v>
      </c>
    </row>
    <row r="15" spans="1:23" s="294" customFormat="1">
      <c r="A15" s="98" t="s">
        <v>845</v>
      </c>
      <c r="B15" s="98" t="s">
        <v>844</v>
      </c>
      <c r="C15" s="98" t="s">
        <v>521</v>
      </c>
      <c r="D15" s="98" t="s">
        <v>843</v>
      </c>
      <c r="E15" s="98" t="s">
        <v>842</v>
      </c>
      <c r="F15" s="98"/>
      <c r="G15" s="98"/>
      <c r="H15" s="114"/>
      <c r="I15" s="114"/>
      <c r="J15" s="113"/>
      <c r="K15" s="98"/>
      <c r="L15" s="98"/>
      <c r="M15" s="98" t="s">
        <v>349</v>
      </c>
      <c r="N15" s="168">
        <v>1</v>
      </c>
      <c r="O15" s="169">
        <v>2</v>
      </c>
      <c r="Q15" s="109">
        <v>3</v>
      </c>
      <c r="R15" s="112">
        <f t="shared" si="0"/>
        <v>0</v>
      </c>
      <c r="S15" s="111">
        <f t="shared" si="1"/>
        <v>0</v>
      </c>
      <c r="T15" s="111">
        <f t="shared" si="3"/>
        <v>1</v>
      </c>
      <c r="W15" s="121">
        <f t="shared" si="2"/>
        <v>36</v>
      </c>
    </row>
    <row r="16" spans="1:23" s="294" customFormat="1">
      <c r="A16" s="98" t="s">
        <v>841</v>
      </c>
      <c r="B16" s="98" t="s">
        <v>840</v>
      </c>
      <c r="C16" s="98" t="s">
        <v>433</v>
      </c>
      <c r="D16" s="98" t="s">
        <v>573</v>
      </c>
      <c r="E16" s="98" t="s">
        <v>839</v>
      </c>
      <c r="F16" s="98"/>
      <c r="G16" s="98"/>
      <c r="H16" s="114"/>
      <c r="I16" s="114"/>
      <c r="J16" s="113"/>
      <c r="K16" s="98"/>
      <c r="L16" s="98"/>
      <c r="M16" s="98" t="s">
        <v>349</v>
      </c>
      <c r="N16" s="168">
        <v>1</v>
      </c>
      <c r="O16" s="169">
        <v>2</v>
      </c>
      <c r="P16" s="171" t="s">
        <v>815</v>
      </c>
      <c r="Q16" s="109">
        <v>3</v>
      </c>
      <c r="R16" s="112">
        <f t="shared" si="0"/>
        <v>0</v>
      </c>
      <c r="S16" s="111">
        <f t="shared" si="1"/>
        <v>0</v>
      </c>
      <c r="T16" s="111">
        <f t="shared" si="3"/>
        <v>1</v>
      </c>
      <c r="W16" s="121">
        <f t="shared" si="2"/>
        <v>36</v>
      </c>
    </row>
    <row r="17" spans="1:24" s="294" customFormat="1">
      <c r="A17" s="98" t="s">
        <v>838</v>
      </c>
      <c r="B17" s="98" t="s">
        <v>726</v>
      </c>
      <c r="C17" s="98" t="s">
        <v>433</v>
      </c>
      <c r="D17" s="98" t="s">
        <v>569</v>
      </c>
      <c r="E17" s="98" t="s">
        <v>837</v>
      </c>
      <c r="F17" s="98"/>
      <c r="G17" s="98"/>
      <c r="H17" s="114"/>
      <c r="I17" s="114"/>
      <c r="J17" s="113"/>
      <c r="K17" s="98"/>
      <c r="L17" s="98"/>
      <c r="M17" s="98" t="s">
        <v>349</v>
      </c>
      <c r="N17" s="168">
        <v>1</v>
      </c>
      <c r="O17" s="169">
        <v>2</v>
      </c>
      <c r="Q17" s="109">
        <v>3</v>
      </c>
      <c r="R17" s="112">
        <f t="shared" si="0"/>
        <v>0</v>
      </c>
      <c r="S17" s="111">
        <f t="shared" si="1"/>
        <v>0</v>
      </c>
      <c r="T17" s="111">
        <f t="shared" si="3"/>
        <v>1</v>
      </c>
      <c r="W17" s="121">
        <f t="shared" si="2"/>
        <v>36</v>
      </c>
    </row>
    <row r="18" spans="1:24" s="294" customFormat="1">
      <c r="A18" s="98" t="s">
        <v>836</v>
      </c>
      <c r="B18" s="98" t="s">
        <v>831</v>
      </c>
      <c r="C18" s="98" t="s">
        <v>476</v>
      </c>
      <c r="D18" s="98" t="s">
        <v>830</v>
      </c>
      <c r="E18" s="98" t="s">
        <v>835</v>
      </c>
      <c r="F18" s="98" t="s">
        <v>834</v>
      </c>
      <c r="G18" s="159">
        <v>37788</v>
      </c>
      <c r="H18" s="114">
        <v>16</v>
      </c>
      <c r="I18" s="114">
        <v>6</v>
      </c>
      <c r="J18" s="113">
        <v>2003</v>
      </c>
      <c r="K18" s="98" t="s">
        <v>30</v>
      </c>
      <c r="L18" s="98">
        <v>7231</v>
      </c>
      <c r="M18" s="98" t="s">
        <v>349</v>
      </c>
      <c r="N18" s="168">
        <v>6595</v>
      </c>
      <c r="O18" s="169">
        <v>2</v>
      </c>
      <c r="P18" s="98" t="s">
        <v>833</v>
      </c>
      <c r="Q18" s="109">
        <v>3</v>
      </c>
      <c r="R18" s="112">
        <f t="shared" si="0"/>
        <v>183.16666666666666</v>
      </c>
      <c r="S18" s="111">
        <f t="shared" si="1"/>
        <v>6594</v>
      </c>
      <c r="T18" s="111">
        <f t="shared" si="3"/>
        <v>1</v>
      </c>
      <c r="U18" s="294">
        <v>1462</v>
      </c>
      <c r="W18" s="121">
        <f t="shared" si="2"/>
        <v>36</v>
      </c>
    </row>
    <row r="19" spans="1:24" s="294" customFormat="1">
      <c r="A19" s="98" t="s">
        <v>832</v>
      </c>
      <c r="B19" s="98" t="s">
        <v>831</v>
      </c>
      <c r="C19" s="98" t="s">
        <v>476</v>
      </c>
      <c r="D19" s="98" t="s">
        <v>830</v>
      </c>
      <c r="E19" s="98" t="s">
        <v>829</v>
      </c>
      <c r="F19" s="98"/>
      <c r="G19" s="98"/>
      <c r="H19" s="114"/>
      <c r="I19" s="114"/>
      <c r="J19" s="113"/>
      <c r="K19" s="98"/>
      <c r="L19" s="98"/>
      <c r="M19" s="98" t="s">
        <v>349</v>
      </c>
      <c r="N19" s="168">
        <v>1</v>
      </c>
      <c r="O19" s="169">
        <v>2</v>
      </c>
      <c r="Q19" s="109">
        <v>3</v>
      </c>
      <c r="R19" s="112">
        <f t="shared" si="0"/>
        <v>0</v>
      </c>
      <c r="S19" s="111">
        <f t="shared" si="1"/>
        <v>0</v>
      </c>
      <c r="T19" s="111">
        <f t="shared" si="3"/>
        <v>1</v>
      </c>
      <c r="W19" s="121">
        <f t="shared" si="2"/>
        <v>36</v>
      </c>
    </row>
    <row r="20" spans="1:24" s="294" customFormat="1" ht="31.5">
      <c r="A20" s="98" t="s">
        <v>828</v>
      </c>
      <c r="B20" s="98" t="s">
        <v>827</v>
      </c>
      <c r="C20" s="98" t="s">
        <v>521</v>
      </c>
      <c r="D20" s="98" t="s">
        <v>826</v>
      </c>
      <c r="E20" s="98" t="s">
        <v>825</v>
      </c>
      <c r="F20" s="98" t="s">
        <v>682</v>
      </c>
      <c r="G20" s="159">
        <v>38400</v>
      </c>
      <c r="H20" s="114">
        <v>17</v>
      </c>
      <c r="I20" s="114">
        <v>2</v>
      </c>
      <c r="J20" s="113">
        <v>2005</v>
      </c>
      <c r="K20" s="98" t="s">
        <v>30</v>
      </c>
      <c r="L20" s="98">
        <v>36221</v>
      </c>
      <c r="M20" s="98" t="s">
        <v>349</v>
      </c>
      <c r="N20" s="168">
        <v>8215</v>
      </c>
      <c r="O20" s="169">
        <v>2</v>
      </c>
      <c r="P20" s="160" t="s">
        <v>824</v>
      </c>
      <c r="Q20" s="109">
        <v>3</v>
      </c>
      <c r="R20" s="112">
        <f t="shared" si="0"/>
        <v>228.16666666666666</v>
      </c>
      <c r="S20" s="111">
        <f t="shared" si="1"/>
        <v>8214</v>
      </c>
      <c r="T20" s="111">
        <f t="shared" si="3"/>
        <v>1</v>
      </c>
      <c r="U20" s="294">
        <v>5821</v>
      </c>
      <c r="W20" s="121">
        <f t="shared" si="2"/>
        <v>36</v>
      </c>
      <c r="X20" s="122"/>
    </row>
    <row r="21" spans="1:24" s="294" customFormat="1">
      <c r="A21" s="98" t="s">
        <v>823</v>
      </c>
      <c r="B21" s="98" t="s">
        <v>668</v>
      </c>
      <c r="C21" s="98" t="s">
        <v>521</v>
      </c>
      <c r="D21" s="98">
        <v>5181</v>
      </c>
      <c r="E21" s="98" t="s">
        <v>822</v>
      </c>
      <c r="F21" s="98" t="s">
        <v>666</v>
      </c>
      <c r="G21" s="159">
        <v>37510</v>
      </c>
      <c r="H21" s="114">
        <v>11</v>
      </c>
      <c r="I21" s="114">
        <v>9</v>
      </c>
      <c r="J21" s="113">
        <v>2002</v>
      </c>
      <c r="K21" s="98" t="s">
        <v>30</v>
      </c>
      <c r="L21" s="98">
        <v>17327</v>
      </c>
      <c r="M21" s="98" t="s">
        <v>349</v>
      </c>
      <c r="N21" s="168">
        <v>1</v>
      </c>
      <c r="O21" s="169">
        <v>2</v>
      </c>
      <c r="Q21" s="109">
        <v>3</v>
      </c>
      <c r="R21" s="112">
        <f t="shared" si="0"/>
        <v>0</v>
      </c>
      <c r="S21" s="111">
        <f t="shared" si="1"/>
        <v>0</v>
      </c>
      <c r="T21" s="111">
        <f t="shared" si="3"/>
        <v>1</v>
      </c>
      <c r="U21" s="294">
        <v>701</v>
      </c>
      <c r="W21" s="121">
        <f t="shared" si="2"/>
        <v>36</v>
      </c>
    </row>
    <row r="22" spans="1:24" s="294" customFormat="1">
      <c r="A22" s="98" t="s">
        <v>821</v>
      </c>
      <c r="B22" s="98" t="s">
        <v>820</v>
      </c>
      <c r="C22" s="98" t="s">
        <v>398</v>
      </c>
      <c r="D22" s="98" t="s">
        <v>819</v>
      </c>
      <c r="E22" s="98"/>
      <c r="F22" s="98"/>
      <c r="G22" s="159"/>
      <c r="H22" s="114"/>
      <c r="I22" s="114"/>
      <c r="J22" s="113"/>
      <c r="K22" s="98"/>
      <c r="L22" s="98"/>
      <c r="M22" s="98" t="s">
        <v>349</v>
      </c>
      <c r="N22" s="168">
        <v>1</v>
      </c>
      <c r="O22" s="169">
        <v>2</v>
      </c>
      <c r="Q22" s="109">
        <v>3</v>
      </c>
      <c r="R22" s="112">
        <f t="shared" si="0"/>
        <v>0</v>
      </c>
      <c r="S22" s="111">
        <f t="shared" si="1"/>
        <v>0</v>
      </c>
      <c r="T22" s="111">
        <f t="shared" si="3"/>
        <v>1</v>
      </c>
      <c r="W22" s="121">
        <f t="shared" si="2"/>
        <v>36</v>
      </c>
    </row>
    <row r="23" spans="1:24" s="294" customFormat="1">
      <c r="A23" s="98" t="s">
        <v>818</v>
      </c>
      <c r="B23" s="98" t="s">
        <v>817</v>
      </c>
      <c r="C23" s="98" t="s">
        <v>521</v>
      </c>
      <c r="D23" s="98"/>
      <c r="E23" s="98" t="s">
        <v>816</v>
      </c>
      <c r="F23" s="98" t="s">
        <v>682</v>
      </c>
      <c r="G23" s="159">
        <v>39072</v>
      </c>
      <c r="H23" s="114">
        <v>21</v>
      </c>
      <c r="I23" s="114">
        <v>12</v>
      </c>
      <c r="J23" s="113">
        <v>2006</v>
      </c>
      <c r="K23" s="98" t="s">
        <v>30</v>
      </c>
      <c r="L23" s="98">
        <v>38356</v>
      </c>
      <c r="M23" s="98" t="s">
        <v>349</v>
      </c>
      <c r="N23" s="168">
        <v>35944.92</v>
      </c>
      <c r="O23" s="169">
        <v>2</v>
      </c>
      <c r="P23" s="294" t="s">
        <v>815</v>
      </c>
      <c r="Q23" s="109">
        <v>3</v>
      </c>
      <c r="R23" s="112">
        <f t="shared" si="0"/>
        <v>998.44222222222209</v>
      </c>
      <c r="S23" s="111">
        <f t="shared" si="1"/>
        <v>35943.919999999998</v>
      </c>
      <c r="T23" s="111">
        <f t="shared" si="3"/>
        <v>1</v>
      </c>
      <c r="U23" s="294">
        <v>9073</v>
      </c>
      <c r="W23" s="121">
        <f t="shared" si="2"/>
        <v>36</v>
      </c>
    </row>
    <row r="24" spans="1:24" s="294" customFormat="1">
      <c r="A24" s="98" t="s">
        <v>814</v>
      </c>
      <c r="B24" s="98" t="s">
        <v>726</v>
      </c>
      <c r="C24" s="98" t="s">
        <v>615</v>
      </c>
      <c r="D24" s="98" t="s">
        <v>813</v>
      </c>
      <c r="E24" s="98" t="s">
        <v>812</v>
      </c>
      <c r="F24" s="98" t="s">
        <v>535</v>
      </c>
      <c r="G24" s="159">
        <v>37958</v>
      </c>
      <c r="H24" s="114">
        <v>3</v>
      </c>
      <c r="I24" s="114">
        <v>12</v>
      </c>
      <c r="J24" s="113">
        <v>2003</v>
      </c>
      <c r="K24" s="98" t="s">
        <v>30</v>
      </c>
      <c r="L24" s="98">
        <v>12315</v>
      </c>
      <c r="M24" s="98" t="s">
        <v>349</v>
      </c>
      <c r="N24" s="112">
        <v>1</v>
      </c>
      <c r="O24" s="169">
        <v>2</v>
      </c>
      <c r="Q24" s="109">
        <v>3</v>
      </c>
      <c r="R24" s="112">
        <f t="shared" si="0"/>
        <v>0</v>
      </c>
      <c r="S24" s="111">
        <f t="shared" si="1"/>
        <v>0</v>
      </c>
      <c r="T24" s="111">
        <f t="shared" si="3"/>
        <v>1</v>
      </c>
      <c r="U24" s="294">
        <v>2882</v>
      </c>
      <c r="W24" s="121">
        <f t="shared" si="2"/>
        <v>36</v>
      </c>
    </row>
    <row r="25" spans="1:24">
      <c r="A25" s="98" t="s">
        <v>811</v>
      </c>
      <c r="B25" s="98" t="s">
        <v>726</v>
      </c>
      <c r="C25" s="98" t="s">
        <v>615</v>
      </c>
      <c r="D25" s="98" t="s">
        <v>810</v>
      </c>
      <c r="E25" s="98" t="s">
        <v>809</v>
      </c>
      <c r="M25" s="98" t="s">
        <v>349</v>
      </c>
      <c r="N25" s="168">
        <v>1</v>
      </c>
      <c r="O25" s="169">
        <v>2</v>
      </c>
      <c r="P25" s="294"/>
      <c r="Q25" s="109">
        <v>3</v>
      </c>
      <c r="R25" s="112">
        <f t="shared" si="0"/>
        <v>0</v>
      </c>
      <c r="S25" s="111">
        <f t="shared" si="1"/>
        <v>0</v>
      </c>
      <c r="T25" s="111">
        <f t="shared" si="3"/>
        <v>1</v>
      </c>
      <c r="W25" s="121">
        <f t="shared" si="2"/>
        <v>36</v>
      </c>
    </row>
    <row r="26" spans="1:24">
      <c r="A26" s="98" t="s">
        <v>808</v>
      </c>
      <c r="B26" s="98" t="s">
        <v>715</v>
      </c>
      <c r="C26" s="98" t="s">
        <v>433</v>
      </c>
      <c r="D26" s="98" t="s">
        <v>763</v>
      </c>
      <c r="E26" s="98" t="s">
        <v>807</v>
      </c>
      <c r="M26" s="98" t="s">
        <v>349</v>
      </c>
      <c r="N26" s="168">
        <v>1</v>
      </c>
      <c r="O26" s="169">
        <v>2</v>
      </c>
      <c r="P26" s="294"/>
      <c r="Q26" s="109">
        <v>3</v>
      </c>
      <c r="R26" s="112">
        <f t="shared" si="0"/>
        <v>0</v>
      </c>
      <c r="S26" s="111">
        <f t="shared" si="1"/>
        <v>0</v>
      </c>
      <c r="T26" s="111">
        <f t="shared" si="3"/>
        <v>1</v>
      </c>
      <c r="W26" s="121">
        <f t="shared" si="2"/>
        <v>36</v>
      </c>
    </row>
    <row r="27" spans="1:24">
      <c r="A27" s="98" t="s">
        <v>806</v>
      </c>
      <c r="B27" s="98" t="s">
        <v>726</v>
      </c>
      <c r="C27" s="98" t="s">
        <v>433</v>
      </c>
      <c r="D27" s="98" t="s">
        <v>638</v>
      </c>
      <c r="E27" s="98" t="s">
        <v>805</v>
      </c>
      <c r="M27" s="98" t="s">
        <v>349</v>
      </c>
      <c r="N27" s="168">
        <v>1</v>
      </c>
      <c r="O27" s="169">
        <v>2</v>
      </c>
      <c r="P27" s="294"/>
      <c r="Q27" s="109">
        <v>3</v>
      </c>
      <c r="R27" s="112">
        <f t="shared" si="0"/>
        <v>0</v>
      </c>
      <c r="S27" s="111">
        <f t="shared" si="1"/>
        <v>0</v>
      </c>
      <c r="T27" s="111">
        <f t="shared" si="3"/>
        <v>1</v>
      </c>
      <c r="W27" s="121">
        <f t="shared" si="2"/>
        <v>36</v>
      </c>
    </row>
    <row r="28" spans="1:24">
      <c r="A28" s="98" t="s">
        <v>804</v>
      </c>
      <c r="B28" s="98" t="s">
        <v>803</v>
      </c>
      <c r="C28" s="98" t="s">
        <v>433</v>
      </c>
      <c r="D28" s="98" t="s">
        <v>565</v>
      </c>
      <c r="E28" s="98" t="s">
        <v>802</v>
      </c>
      <c r="M28" s="98" t="s">
        <v>349</v>
      </c>
      <c r="N28" s="168">
        <v>1</v>
      </c>
      <c r="O28" s="169">
        <v>2</v>
      </c>
      <c r="P28" s="294"/>
      <c r="Q28" s="109">
        <v>3</v>
      </c>
      <c r="R28" s="112">
        <f t="shared" si="0"/>
        <v>0</v>
      </c>
      <c r="S28" s="111">
        <f t="shared" si="1"/>
        <v>0</v>
      </c>
      <c r="T28" s="111">
        <f t="shared" si="3"/>
        <v>1</v>
      </c>
      <c r="W28" s="121">
        <f t="shared" si="2"/>
        <v>36</v>
      </c>
    </row>
    <row r="29" spans="1:24">
      <c r="A29" s="98" t="s">
        <v>801</v>
      </c>
      <c r="B29" s="98" t="s">
        <v>800</v>
      </c>
      <c r="C29" s="98" t="s">
        <v>433</v>
      </c>
      <c r="D29" s="98" t="s">
        <v>573</v>
      </c>
      <c r="E29" s="98" t="s">
        <v>799</v>
      </c>
      <c r="M29" s="98" t="s">
        <v>349</v>
      </c>
      <c r="N29" s="168">
        <v>1</v>
      </c>
      <c r="O29" s="169">
        <v>2</v>
      </c>
      <c r="P29" s="294"/>
      <c r="Q29" s="109">
        <v>3</v>
      </c>
      <c r="R29" s="112">
        <f t="shared" si="0"/>
        <v>0</v>
      </c>
      <c r="S29" s="111">
        <f t="shared" si="1"/>
        <v>0</v>
      </c>
      <c r="T29" s="111">
        <f t="shared" si="3"/>
        <v>1</v>
      </c>
      <c r="W29" s="121">
        <f t="shared" si="2"/>
        <v>36</v>
      </c>
    </row>
    <row r="30" spans="1:24">
      <c r="A30" s="98" t="s">
        <v>798</v>
      </c>
      <c r="B30" s="98" t="s">
        <v>557</v>
      </c>
      <c r="C30" s="98" t="s">
        <v>433</v>
      </c>
      <c r="E30" s="98" t="s">
        <v>797</v>
      </c>
      <c r="F30" s="98" t="s">
        <v>356</v>
      </c>
      <c r="G30" s="159">
        <v>39072</v>
      </c>
      <c r="H30" s="114">
        <v>21</v>
      </c>
      <c r="I30" s="114">
        <v>12</v>
      </c>
      <c r="J30" s="113">
        <v>2006</v>
      </c>
      <c r="K30" s="98" t="s">
        <v>30</v>
      </c>
      <c r="L30" s="98">
        <v>30324</v>
      </c>
      <c r="M30" s="98" t="s">
        <v>349</v>
      </c>
      <c r="N30" s="168">
        <v>7537.16</v>
      </c>
      <c r="O30" s="169">
        <v>2</v>
      </c>
      <c r="P30" s="294" t="s">
        <v>796</v>
      </c>
      <c r="Q30" s="109">
        <v>3</v>
      </c>
      <c r="R30" s="112">
        <f t="shared" si="0"/>
        <v>209.33777777777777</v>
      </c>
      <c r="S30" s="111">
        <f t="shared" si="1"/>
        <v>7536.16</v>
      </c>
      <c r="T30" s="111">
        <f t="shared" si="3"/>
        <v>1</v>
      </c>
      <c r="U30" s="97">
        <v>9065</v>
      </c>
      <c r="W30" s="121">
        <f t="shared" si="2"/>
        <v>36</v>
      </c>
    </row>
    <row r="31" spans="1:24">
      <c r="A31" s="98" t="s">
        <v>795</v>
      </c>
      <c r="B31" s="98" t="s">
        <v>794</v>
      </c>
      <c r="C31" s="98" t="s">
        <v>433</v>
      </c>
      <c r="D31" s="98" t="s">
        <v>793</v>
      </c>
      <c r="E31" s="98" t="s">
        <v>792</v>
      </c>
      <c r="M31" s="98" t="s">
        <v>349</v>
      </c>
      <c r="N31" s="112">
        <v>1</v>
      </c>
      <c r="O31" s="169">
        <v>2</v>
      </c>
      <c r="P31" s="294"/>
      <c r="Q31" s="109">
        <v>3</v>
      </c>
      <c r="R31" s="112">
        <f t="shared" si="0"/>
        <v>0</v>
      </c>
      <c r="S31" s="111">
        <f t="shared" si="1"/>
        <v>0</v>
      </c>
      <c r="T31" s="111">
        <f t="shared" si="3"/>
        <v>1</v>
      </c>
      <c r="W31" s="121">
        <f t="shared" si="2"/>
        <v>36</v>
      </c>
    </row>
    <row r="32" spans="1:24">
      <c r="A32" s="98" t="s">
        <v>791</v>
      </c>
      <c r="B32" s="98" t="s">
        <v>764</v>
      </c>
      <c r="C32" s="98" t="s">
        <v>433</v>
      </c>
      <c r="D32" s="98" t="s">
        <v>790</v>
      </c>
      <c r="E32" s="98" t="s">
        <v>789</v>
      </c>
      <c r="M32" s="98" t="s">
        <v>349</v>
      </c>
      <c r="N32" s="112">
        <v>1</v>
      </c>
      <c r="O32" s="169">
        <v>2</v>
      </c>
      <c r="P32" s="294"/>
      <c r="Q32" s="109">
        <v>3</v>
      </c>
      <c r="R32" s="112">
        <f t="shared" si="0"/>
        <v>0</v>
      </c>
      <c r="S32" s="111">
        <f t="shared" si="1"/>
        <v>0</v>
      </c>
      <c r="T32" s="111">
        <f t="shared" si="3"/>
        <v>1</v>
      </c>
      <c r="W32" s="121">
        <f t="shared" si="2"/>
        <v>36</v>
      </c>
    </row>
    <row r="33" spans="1:23">
      <c r="A33" s="98" t="s">
        <v>788</v>
      </c>
      <c r="B33" s="98" t="s">
        <v>726</v>
      </c>
      <c r="C33" s="98" t="s">
        <v>433</v>
      </c>
      <c r="D33" s="98" t="s">
        <v>569</v>
      </c>
      <c r="E33" s="98" t="s">
        <v>787</v>
      </c>
      <c r="M33" s="98" t="s">
        <v>349</v>
      </c>
      <c r="N33" s="112">
        <v>1</v>
      </c>
      <c r="O33" s="169">
        <v>2</v>
      </c>
      <c r="P33" s="294"/>
      <c r="Q33" s="109">
        <v>3</v>
      </c>
      <c r="R33" s="112">
        <f t="shared" si="0"/>
        <v>0</v>
      </c>
      <c r="S33" s="111">
        <f t="shared" si="1"/>
        <v>0</v>
      </c>
      <c r="T33" s="111">
        <f t="shared" si="3"/>
        <v>1</v>
      </c>
      <c r="W33" s="121">
        <f t="shared" si="2"/>
        <v>36</v>
      </c>
    </row>
    <row r="34" spans="1:23">
      <c r="A34" s="98" t="s">
        <v>786</v>
      </c>
      <c r="B34" s="98" t="s">
        <v>709</v>
      </c>
      <c r="C34" s="98" t="s">
        <v>615</v>
      </c>
      <c r="D34" s="98" t="s">
        <v>785</v>
      </c>
      <c r="E34" s="98" t="s">
        <v>784</v>
      </c>
      <c r="M34" s="98" t="s">
        <v>349</v>
      </c>
      <c r="N34" s="112">
        <v>1</v>
      </c>
      <c r="O34" s="169">
        <v>2</v>
      </c>
      <c r="P34" s="98" t="s">
        <v>783</v>
      </c>
      <c r="Q34" s="109">
        <v>3</v>
      </c>
      <c r="R34" s="112">
        <f t="shared" si="0"/>
        <v>0</v>
      </c>
      <c r="S34" s="111">
        <f t="shared" si="1"/>
        <v>0</v>
      </c>
      <c r="T34" s="111">
        <f t="shared" si="3"/>
        <v>1</v>
      </c>
      <c r="W34" s="121">
        <f t="shared" si="2"/>
        <v>36</v>
      </c>
    </row>
    <row r="35" spans="1:23">
      <c r="A35" s="98" t="s">
        <v>782</v>
      </c>
      <c r="B35" s="98" t="s">
        <v>759</v>
      </c>
      <c r="C35" s="98" t="s">
        <v>433</v>
      </c>
      <c r="D35" s="98" t="s">
        <v>781</v>
      </c>
      <c r="E35" s="98" t="s">
        <v>780</v>
      </c>
      <c r="M35" s="98" t="s">
        <v>349</v>
      </c>
      <c r="O35" s="169">
        <v>2</v>
      </c>
      <c r="P35" s="294"/>
      <c r="Q35" s="109">
        <v>3</v>
      </c>
      <c r="R35" s="112">
        <f t="shared" si="0"/>
        <v>-2.7777777777777776E-2</v>
      </c>
      <c r="S35" s="111">
        <f t="shared" si="1"/>
        <v>-1</v>
      </c>
      <c r="T35" s="111">
        <f t="shared" si="3"/>
        <v>1</v>
      </c>
      <c r="W35" s="121">
        <f t="shared" si="2"/>
        <v>36</v>
      </c>
    </row>
    <row r="36" spans="1:23">
      <c r="A36" s="98" t="s">
        <v>779</v>
      </c>
      <c r="B36" s="98" t="s">
        <v>709</v>
      </c>
      <c r="C36" s="98" t="s">
        <v>433</v>
      </c>
      <c r="D36" s="98" t="s">
        <v>778</v>
      </c>
      <c r="E36" s="98" t="s">
        <v>777</v>
      </c>
      <c r="M36" s="98" t="s">
        <v>349</v>
      </c>
      <c r="N36" s="112">
        <v>1</v>
      </c>
      <c r="O36" s="169">
        <v>2</v>
      </c>
      <c r="P36" s="294"/>
      <c r="Q36" s="109">
        <v>3</v>
      </c>
      <c r="R36" s="112">
        <f t="shared" si="0"/>
        <v>0</v>
      </c>
      <c r="S36" s="111">
        <f t="shared" si="1"/>
        <v>0</v>
      </c>
      <c r="T36" s="111">
        <f t="shared" si="3"/>
        <v>1</v>
      </c>
      <c r="W36" s="121">
        <f t="shared" si="2"/>
        <v>36</v>
      </c>
    </row>
    <row r="37" spans="1:23">
      <c r="A37" s="98" t="s">
        <v>776</v>
      </c>
      <c r="B37" s="98" t="s">
        <v>752</v>
      </c>
      <c r="C37" s="98" t="s">
        <v>433</v>
      </c>
      <c r="D37" s="98" t="s">
        <v>775</v>
      </c>
      <c r="E37" s="98" t="s">
        <v>774</v>
      </c>
      <c r="M37" s="98" t="s">
        <v>349</v>
      </c>
      <c r="N37" s="112">
        <v>1</v>
      </c>
      <c r="O37" s="169">
        <v>2</v>
      </c>
      <c r="P37" s="294"/>
      <c r="Q37" s="109">
        <v>3</v>
      </c>
      <c r="R37" s="112">
        <f t="shared" si="0"/>
        <v>0</v>
      </c>
      <c r="S37" s="111">
        <f t="shared" si="1"/>
        <v>0</v>
      </c>
      <c r="T37" s="111">
        <f t="shared" si="3"/>
        <v>1</v>
      </c>
      <c r="W37" s="121">
        <f t="shared" si="2"/>
        <v>36</v>
      </c>
    </row>
    <row r="38" spans="1:23">
      <c r="A38" s="98" t="s">
        <v>773</v>
      </c>
      <c r="B38" s="98" t="s">
        <v>726</v>
      </c>
      <c r="C38" s="98" t="s">
        <v>433</v>
      </c>
      <c r="D38" s="98" t="s">
        <v>569</v>
      </c>
      <c r="E38" s="98" t="s">
        <v>772</v>
      </c>
      <c r="M38" s="98" t="s">
        <v>349</v>
      </c>
      <c r="N38" s="112">
        <v>1</v>
      </c>
      <c r="O38" s="169">
        <v>2</v>
      </c>
      <c r="P38" s="294"/>
      <c r="Q38" s="109">
        <v>3</v>
      </c>
      <c r="R38" s="112">
        <f t="shared" si="0"/>
        <v>0</v>
      </c>
      <c r="S38" s="111">
        <f t="shared" si="1"/>
        <v>0</v>
      </c>
      <c r="T38" s="111">
        <f t="shared" si="3"/>
        <v>1</v>
      </c>
      <c r="W38" s="121">
        <f t="shared" si="2"/>
        <v>36</v>
      </c>
    </row>
    <row r="39" spans="1:23">
      <c r="A39" s="98" t="s">
        <v>771</v>
      </c>
      <c r="B39" s="98" t="s">
        <v>770</v>
      </c>
      <c r="C39" s="98" t="s">
        <v>521</v>
      </c>
      <c r="D39" s="98" t="s">
        <v>769</v>
      </c>
      <c r="E39" s="98" t="s">
        <v>768</v>
      </c>
      <c r="F39" s="98" t="s">
        <v>535</v>
      </c>
      <c r="G39" s="159">
        <v>37690</v>
      </c>
      <c r="H39" s="114">
        <v>10</v>
      </c>
      <c r="I39" s="114">
        <v>3</v>
      </c>
      <c r="J39" s="113">
        <v>2003</v>
      </c>
      <c r="K39" s="98" t="s">
        <v>30</v>
      </c>
      <c r="L39" s="98">
        <v>11820</v>
      </c>
      <c r="M39" s="98" t="s">
        <v>349</v>
      </c>
      <c r="N39" s="112">
        <v>15800</v>
      </c>
      <c r="O39" s="294">
        <v>2</v>
      </c>
      <c r="P39" s="294"/>
      <c r="Q39" s="109">
        <v>3</v>
      </c>
      <c r="R39" s="112">
        <f t="shared" si="0"/>
        <v>438.86111111111109</v>
      </c>
      <c r="S39" s="111">
        <f t="shared" si="1"/>
        <v>15799</v>
      </c>
      <c r="T39" s="111">
        <f t="shared" si="3"/>
        <v>1</v>
      </c>
      <c r="U39" s="97">
        <v>1214</v>
      </c>
      <c r="W39" s="121">
        <f t="shared" si="2"/>
        <v>36</v>
      </c>
    </row>
    <row r="40" spans="1:23">
      <c r="A40" s="98" t="s">
        <v>767</v>
      </c>
      <c r="B40" s="98" t="s">
        <v>726</v>
      </c>
      <c r="C40" s="98" t="s">
        <v>615</v>
      </c>
      <c r="E40" s="98" t="s">
        <v>766</v>
      </c>
      <c r="M40" s="98" t="s">
        <v>349</v>
      </c>
      <c r="N40" s="112">
        <v>1</v>
      </c>
      <c r="O40" s="169">
        <v>2</v>
      </c>
      <c r="P40" s="294"/>
      <c r="Q40" s="109">
        <v>3</v>
      </c>
      <c r="R40" s="112">
        <f t="shared" si="0"/>
        <v>0</v>
      </c>
      <c r="S40" s="111">
        <f t="shared" si="1"/>
        <v>0</v>
      </c>
      <c r="T40" s="111">
        <f t="shared" si="3"/>
        <v>1</v>
      </c>
      <c r="W40" s="121">
        <f t="shared" si="2"/>
        <v>36</v>
      </c>
    </row>
    <row r="41" spans="1:23" ht="31.5">
      <c r="A41" s="98" t="s">
        <v>765</v>
      </c>
      <c r="B41" s="98" t="s">
        <v>764</v>
      </c>
      <c r="C41" s="98" t="s">
        <v>433</v>
      </c>
      <c r="D41" s="98" t="s">
        <v>763</v>
      </c>
      <c r="E41" s="98" t="s">
        <v>762</v>
      </c>
      <c r="F41" s="98" t="s">
        <v>535</v>
      </c>
      <c r="G41" s="159">
        <v>37755</v>
      </c>
      <c r="H41" s="114">
        <v>14</v>
      </c>
      <c r="I41" s="114">
        <v>5</v>
      </c>
      <c r="J41" s="113">
        <v>2003</v>
      </c>
      <c r="K41" s="98" t="s">
        <v>30</v>
      </c>
      <c r="L41" s="98">
        <v>11962</v>
      </c>
      <c r="M41" s="98" t="s">
        <v>349</v>
      </c>
      <c r="N41" s="112">
        <v>27700</v>
      </c>
      <c r="O41" s="169">
        <v>2</v>
      </c>
      <c r="P41" s="170" t="s">
        <v>761</v>
      </c>
      <c r="Q41" s="109">
        <v>3</v>
      </c>
      <c r="R41" s="112">
        <f t="shared" si="0"/>
        <v>769.41666666666663</v>
      </c>
      <c r="S41" s="111">
        <f t="shared" si="1"/>
        <v>27699</v>
      </c>
      <c r="T41" s="111">
        <f t="shared" si="3"/>
        <v>1</v>
      </c>
      <c r="U41" s="97">
        <v>1441</v>
      </c>
      <c r="W41" s="121">
        <f t="shared" si="2"/>
        <v>36</v>
      </c>
    </row>
    <row r="42" spans="1:23">
      <c r="A42" s="98" t="s">
        <v>760</v>
      </c>
      <c r="B42" s="98" t="s">
        <v>759</v>
      </c>
      <c r="C42" s="98" t="s">
        <v>615</v>
      </c>
      <c r="D42" s="98" t="s">
        <v>758</v>
      </c>
      <c r="E42" s="98" t="s">
        <v>757</v>
      </c>
      <c r="M42" s="98" t="s">
        <v>349</v>
      </c>
      <c r="N42" s="112">
        <v>1</v>
      </c>
      <c r="O42" s="169">
        <v>2</v>
      </c>
      <c r="P42" s="294"/>
      <c r="Q42" s="109">
        <v>3</v>
      </c>
      <c r="R42" s="112">
        <f t="shared" si="0"/>
        <v>0</v>
      </c>
      <c r="S42" s="111">
        <f t="shared" si="1"/>
        <v>0</v>
      </c>
      <c r="T42" s="111">
        <f t="shared" si="3"/>
        <v>1</v>
      </c>
      <c r="W42" s="121">
        <f t="shared" si="2"/>
        <v>36</v>
      </c>
    </row>
    <row r="43" spans="1:23">
      <c r="A43" s="98" t="s">
        <v>756</v>
      </c>
      <c r="B43" s="98" t="s">
        <v>664</v>
      </c>
      <c r="C43" s="98" t="s">
        <v>663</v>
      </c>
      <c r="D43" s="98" t="s">
        <v>754</v>
      </c>
      <c r="E43" s="98">
        <v>2416</v>
      </c>
      <c r="M43" s="98" t="s">
        <v>349</v>
      </c>
      <c r="N43" s="112">
        <v>1</v>
      </c>
      <c r="O43" s="169">
        <v>2</v>
      </c>
      <c r="P43" s="294"/>
      <c r="Q43" s="109">
        <v>3</v>
      </c>
      <c r="R43" s="112">
        <f t="shared" si="0"/>
        <v>0</v>
      </c>
      <c r="S43" s="111">
        <f t="shared" si="1"/>
        <v>0</v>
      </c>
      <c r="T43" s="111">
        <f t="shared" si="3"/>
        <v>1</v>
      </c>
      <c r="W43" s="121">
        <f t="shared" si="2"/>
        <v>36</v>
      </c>
    </row>
    <row r="44" spans="1:23">
      <c r="A44" s="98" t="s">
        <v>755</v>
      </c>
      <c r="B44" s="98" t="s">
        <v>664</v>
      </c>
      <c r="C44" s="98" t="s">
        <v>663</v>
      </c>
      <c r="D44" s="98" t="s">
        <v>754</v>
      </c>
      <c r="E44" s="98">
        <v>2416</v>
      </c>
      <c r="M44" s="98" t="s">
        <v>349</v>
      </c>
      <c r="N44" s="112">
        <v>1</v>
      </c>
      <c r="O44" s="169">
        <v>2</v>
      </c>
      <c r="P44" s="294"/>
      <c r="Q44" s="109">
        <v>3</v>
      </c>
      <c r="R44" s="112">
        <f t="shared" si="0"/>
        <v>0</v>
      </c>
      <c r="S44" s="111">
        <f t="shared" si="1"/>
        <v>0</v>
      </c>
      <c r="T44" s="111">
        <f t="shared" si="3"/>
        <v>1</v>
      </c>
      <c r="W44" s="121">
        <f t="shared" si="2"/>
        <v>36</v>
      </c>
    </row>
    <row r="45" spans="1:23">
      <c r="A45" s="98" t="s">
        <v>753</v>
      </c>
      <c r="B45" s="98" t="s">
        <v>752</v>
      </c>
      <c r="C45" s="98" t="s">
        <v>433</v>
      </c>
      <c r="D45" s="98" t="s">
        <v>573</v>
      </c>
      <c r="E45" s="98" t="s">
        <v>751</v>
      </c>
      <c r="M45" s="98" t="s">
        <v>349</v>
      </c>
      <c r="N45" s="112">
        <v>1</v>
      </c>
      <c r="O45" s="169">
        <v>2</v>
      </c>
      <c r="P45" s="294"/>
      <c r="Q45" s="109">
        <v>3</v>
      </c>
      <c r="R45" s="112">
        <f t="shared" si="0"/>
        <v>0</v>
      </c>
      <c r="S45" s="111">
        <f t="shared" si="1"/>
        <v>0</v>
      </c>
      <c r="T45" s="111">
        <f t="shared" si="3"/>
        <v>1</v>
      </c>
      <c r="W45" s="121">
        <f t="shared" si="2"/>
        <v>36</v>
      </c>
    </row>
    <row r="46" spans="1:23">
      <c r="A46" s="98" t="s">
        <v>750</v>
      </c>
      <c r="B46" s="98" t="s">
        <v>726</v>
      </c>
      <c r="C46" s="98" t="s">
        <v>433</v>
      </c>
      <c r="E46" s="98" t="s">
        <v>749</v>
      </c>
      <c r="M46" s="98" t="s">
        <v>349</v>
      </c>
      <c r="N46" s="112">
        <v>1</v>
      </c>
      <c r="O46" s="169">
        <v>2</v>
      </c>
      <c r="P46" s="294"/>
      <c r="Q46" s="109">
        <v>3</v>
      </c>
      <c r="R46" s="112">
        <f t="shared" si="0"/>
        <v>0</v>
      </c>
      <c r="S46" s="111">
        <f t="shared" si="1"/>
        <v>0</v>
      </c>
      <c r="T46" s="111">
        <f t="shared" si="3"/>
        <v>1</v>
      </c>
      <c r="W46" s="121">
        <f t="shared" si="2"/>
        <v>36</v>
      </c>
    </row>
    <row r="47" spans="1:23">
      <c r="A47" s="98" t="s">
        <v>748</v>
      </c>
      <c r="B47" s="98" t="s">
        <v>747</v>
      </c>
      <c r="C47" s="98" t="s">
        <v>746</v>
      </c>
      <c r="D47" s="98" t="s">
        <v>745</v>
      </c>
      <c r="E47" s="98" t="s">
        <v>744</v>
      </c>
      <c r="F47" s="98" t="s">
        <v>682</v>
      </c>
      <c r="G47" s="159">
        <v>38413</v>
      </c>
      <c r="H47" s="114">
        <v>2</v>
      </c>
      <c r="I47" s="114">
        <v>3</v>
      </c>
      <c r="J47" s="113">
        <v>2005</v>
      </c>
      <c r="K47" s="98" t="s">
        <v>30</v>
      </c>
      <c r="L47" s="98">
        <v>36292</v>
      </c>
      <c r="M47" s="98" t="s">
        <v>349</v>
      </c>
      <c r="N47" s="112">
        <v>50850</v>
      </c>
      <c r="O47" s="169">
        <v>2</v>
      </c>
      <c r="P47" s="294" t="s">
        <v>514</v>
      </c>
      <c r="Q47" s="109">
        <v>3</v>
      </c>
      <c r="R47" s="112">
        <f t="shared" si="0"/>
        <v>1412.4722222222224</v>
      </c>
      <c r="S47" s="111">
        <f t="shared" si="1"/>
        <v>50849.000000000007</v>
      </c>
      <c r="T47" s="111">
        <f t="shared" si="3"/>
        <v>0.99999999999272404</v>
      </c>
      <c r="U47" s="97">
        <v>6101</v>
      </c>
      <c r="W47" s="121">
        <f t="shared" si="2"/>
        <v>36</v>
      </c>
    </row>
    <row r="48" spans="1:23">
      <c r="A48" s="98" t="s">
        <v>743</v>
      </c>
      <c r="B48" s="98" t="s">
        <v>742</v>
      </c>
      <c r="C48" s="98" t="s">
        <v>476</v>
      </c>
      <c r="D48" s="98" t="s">
        <v>741</v>
      </c>
      <c r="E48" s="98" t="s">
        <v>740</v>
      </c>
      <c r="M48" s="98" t="s">
        <v>349</v>
      </c>
      <c r="N48" s="112">
        <v>1</v>
      </c>
      <c r="O48" s="169">
        <v>2</v>
      </c>
      <c r="P48" s="294" t="s">
        <v>514</v>
      </c>
      <c r="Q48" s="109">
        <v>3</v>
      </c>
      <c r="R48" s="112">
        <f t="shared" si="0"/>
        <v>0</v>
      </c>
      <c r="S48" s="111">
        <f t="shared" si="1"/>
        <v>0</v>
      </c>
      <c r="T48" s="111">
        <f t="shared" si="3"/>
        <v>1</v>
      </c>
      <c r="W48" s="121">
        <f t="shared" si="2"/>
        <v>36</v>
      </c>
    </row>
    <row r="49" spans="1:23">
      <c r="A49" s="98" t="s">
        <v>739</v>
      </c>
      <c r="B49" s="98" t="s">
        <v>557</v>
      </c>
      <c r="C49" s="98" t="s">
        <v>433</v>
      </c>
      <c r="E49" s="98" t="s">
        <v>735</v>
      </c>
      <c r="F49" s="98" t="s">
        <v>356</v>
      </c>
      <c r="G49" s="159">
        <v>39072</v>
      </c>
      <c r="H49" s="114">
        <v>21</v>
      </c>
      <c r="I49" s="114">
        <v>12</v>
      </c>
      <c r="J49" s="113">
        <v>2006</v>
      </c>
      <c r="K49" s="98" t="s">
        <v>30</v>
      </c>
      <c r="L49" s="98">
        <v>30324</v>
      </c>
      <c r="M49" s="98" t="s">
        <v>349</v>
      </c>
      <c r="N49" s="112">
        <v>7537.16</v>
      </c>
      <c r="O49" s="169">
        <v>2</v>
      </c>
      <c r="P49" s="294"/>
      <c r="Q49" s="109">
        <v>3</v>
      </c>
      <c r="R49" s="112">
        <f t="shared" si="0"/>
        <v>209.33777777777777</v>
      </c>
      <c r="S49" s="111">
        <f t="shared" si="1"/>
        <v>7536.16</v>
      </c>
      <c r="T49" s="111">
        <f t="shared" si="3"/>
        <v>1</v>
      </c>
      <c r="U49" s="97">
        <v>9065</v>
      </c>
      <c r="W49" s="121">
        <f t="shared" si="2"/>
        <v>36</v>
      </c>
    </row>
    <row r="50" spans="1:23">
      <c r="A50" s="98" t="s">
        <v>738</v>
      </c>
      <c r="B50" s="98" t="s">
        <v>557</v>
      </c>
      <c r="C50" s="98" t="s">
        <v>433</v>
      </c>
      <c r="E50" s="98" t="s">
        <v>735</v>
      </c>
      <c r="F50" s="98" t="s">
        <v>356</v>
      </c>
      <c r="G50" s="159">
        <v>39072</v>
      </c>
      <c r="H50" s="114">
        <v>21</v>
      </c>
      <c r="I50" s="114">
        <v>12</v>
      </c>
      <c r="J50" s="113">
        <v>2006</v>
      </c>
      <c r="K50" s="98" t="s">
        <v>30</v>
      </c>
      <c r="L50" s="98">
        <v>30324</v>
      </c>
      <c r="M50" s="98" t="s">
        <v>349</v>
      </c>
      <c r="N50" s="112">
        <v>7537.16</v>
      </c>
      <c r="O50" s="169">
        <v>2</v>
      </c>
      <c r="P50" s="294"/>
      <c r="Q50" s="109">
        <v>3</v>
      </c>
      <c r="R50" s="112">
        <f t="shared" si="0"/>
        <v>209.33777777777777</v>
      </c>
      <c r="S50" s="111">
        <f t="shared" si="1"/>
        <v>7536.16</v>
      </c>
      <c r="T50" s="111">
        <f t="shared" si="3"/>
        <v>1</v>
      </c>
      <c r="U50" s="97">
        <v>9065</v>
      </c>
      <c r="W50" s="121">
        <f t="shared" si="2"/>
        <v>36</v>
      </c>
    </row>
    <row r="51" spans="1:23">
      <c r="A51" s="98" t="s">
        <v>737</v>
      </c>
      <c r="B51" s="98" t="s">
        <v>557</v>
      </c>
      <c r="C51" s="98" t="s">
        <v>433</v>
      </c>
      <c r="E51" s="98" t="s">
        <v>735</v>
      </c>
      <c r="F51" s="98" t="s">
        <v>356</v>
      </c>
      <c r="G51" s="159">
        <v>39072</v>
      </c>
      <c r="H51" s="114">
        <v>21</v>
      </c>
      <c r="I51" s="114">
        <v>12</v>
      </c>
      <c r="J51" s="113">
        <v>2006</v>
      </c>
      <c r="K51" s="98" t="s">
        <v>30</v>
      </c>
      <c r="L51" s="98">
        <v>30324</v>
      </c>
      <c r="M51" s="98" t="s">
        <v>349</v>
      </c>
      <c r="N51" s="112">
        <v>7537.16</v>
      </c>
      <c r="O51" s="169">
        <v>2</v>
      </c>
      <c r="P51" s="294"/>
      <c r="Q51" s="109">
        <v>3</v>
      </c>
      <c r="R51" s="112">
        <f t="shared" si="0"/>
        <v>209.33777777777777</v>
      </c>
      <c r="S51" s="111">
        <f t="shared" si="1"/>
        <v>7536.16</v>
      </c>
      <c r="T51" s="111">
        <f t="shared" si="3"/>
        <v>1</v>
      </c>
      <c r="U51" s="97">
        <v>9065</v>
      </c>
      <c r="W51" s="121">
        <f t="shared" si="2"/>
        <v>36</v>
      </c>
    </row>
    <row r="52" spans="1:23">
      <c r="A52" s="98" t="s">
        <v>736</v>
      </c>
      <c r="B52" s="98" t="s">
        <v>557</v>
      </c>
      <c r="C52" s="98" t="s">
        <v>433</v>
      </c>
      <c r="E52" s="98" t="s">
        <v>735</v>
      </c>
      <c r="F52" s="98" t="s">
        <v>356</v>
      </c>
      <c r="G52" s="159">
        <v>39072</v>
      </c>
      <c r="H52" s="114">
        <v>21</v>
      </c>
      <c r="I52" s="114">
        <v>12</v>
      </c>
      <c r="J52" s="113">
        <v>2006</v>
      </c>
      <c r="K52" s="98" t="s">
        <v>30</v>
      </c>
      <c r="L52" s="98">
        <v>30324</v>
      </c>
      <c r="M52" s="98" t="s">
        <v>349</v>
      </c>
      <c r="N52" s="112">
        <v>7537.16</v>
      </c>
      <c r="O52" s="169">
        <v>2</v>
      </c>
      <c r="P52" s="294"/>
      <c r="Q52" s="109">
        <v>3</v>
      </c>
      <c r="R52" s="112">
        <f t="shared" si="0"/>
        <v>209.33777777777777</v>
      </c>
      <c r="S52" s="111">
        <f t="shared" si="1"/>
        <v>7536.16</v>
      </c>
      <c r="T52" s="111">
        <f t="shared" si="3"/>
        <v>1</v>
      </c>
      <c r="U52" s="97">
        <v>9065</v>
      </c>
      <c r="W52" s="121">
        <f t="shared" si="2"/>
        <v>36</v>
      </c>
    </row>
    <row r="53" spans="1:23">
      <c r="A53" s="98" t="s">
        <v>734</v>
      </c>
      <c r="B53" s="98" t="s">
        <v>726</v>
      </c>
      <c r="C53" s="98" t="s">
        <v>433</v>
      </c>
      <c r="D53" s="98" t="s">
        <v>733</v>
      </c>
      <c r="E53" s="98" t="s">
        <v>732</v>
      </c>
      <c r="F53" s="98" t="s">
        <v>448</v>
      </c>
      <c r="G53" s="159">
        <v>38391</v>
      </c>
      <c r="H53" s="114">
        <v>8</v>
      </c>
      <c r="I53" s="114">
        <v>2</v>
      </c>
      <c r="J53" s="113">
        <v>2005</v>
      </c>
      <c r="K53" s="98" t="s">
        <v>30</v>
      </c>
      <c r="L53" s="98">
        <v>12606</v>
      </c>
      <c r="M53" s="98" t="s">
        <v>349</v>
      </c>
      <c r="N53" s="112">
        <v>1</v>
      </c>
      <c r="O53" s="169">
        <v>2</v>
      </c>
      <c r="P53" s="294"/>
      <c r="Q53" s="109">
        <v>3</v>
      </c>
      <c r="R53" s="112">
        <f t="shared" si="0"/>
        <v>0</v>
      </c>
      <c r="S53" s="111">
        <f t="shared" si="1"/>
        <v>0</v>
      </c>
      <c r="T53" s="111">
        <f t="shared" si="3"/>
        <v>1</v>
      </c>
      <c r="U53" s="97">
        <v>5813</v>
      </c>
      <c r="W53" s="121">
        <f t="shared" si="2"/>
        <v>36</v>
      </c>
    </row>
    <row r="54" spans="1:23">
      <c r="A54" s="98" t="s">
        <v>731</v>
      </c>
      <c r="B54" s="98" t="s">
        <v>730</v>
      </c>
      <c r="C54" s="98" t="s">
        <v>433</v>
      </c>
      <c r="D54" s="98" t="s">
        <v>729</v>
      </c>
      <c r="E54" s="98" t="s">
        <v>728</v>
      </c>
      <c r="F54" s="98" t="s">
        <v>682</v>
      </c>
      <c r="G54" s="159">
        <v>38371</v>
      </c>
      <c r="H54" s="114">
        <v>19</v>
      </c>
      <c r="I54" s="114">
        <v>1</v>
      </c>
      <c r="J54" s="113">
        <v>2005</v>
      </c>
      <c r="K54" s="98" t="s">
        <v>30</v>
      </c>
      <c r="L54" s="98">
        <v>36108</v>
      </c>
      <c r="M54" s="98" t="s">
        <v>349</v>
      </c>
      <c r="N54" s="112">
        <v>1</v>
      </c>
      <c r="O54" s="169">
        <v>2</v>
      </c>
      <c r="P54" s="294"/>
      <c r="Q54" s="109">
        <v>3</v>
      </c>
      <c r="R54" s="112">
        <f t="shared" si="0"/>
        <v>0</v>
      </c>
      <c r="S54" s="111">
        <f t="shared" si="1"/>
        <v>0</v>
      </c>
      <c r="T54" s="111">
        <f t="shared" si="3"/>
        <v>1</v>
      </c>
      <c r="U54" s="97">
        <v>5517</v>
      </c>
      <c r="W54" s="121">
        <f t="shared" si="2"/>
        <v>36</v>
      </c>
    </row>
    <row r="55" spans="1:23">
      <c r="A55" s="98" t="s">
        <v>727</v>
      </c>
      <c r="B55" s="98" t="s">
        <v>726</v>
      </c>
      <c r="C55" s="98" t="s">
        <v>433</v>
      </c>
      <c r="D55" s="98" t="s">
        <v>725</v>
      </c>
      <c r="E55" s="98" t="s">
        <v>724</v>
      </c>
      <c r="F55" s="98" t="s">
        <v>682</v>
      </c>
      <c r="G55" s="159">
        <v>38371</v>
      </c>
      <c r="H55" s="114">
        <v>19</v>
      </c>
      <c r="I55" s="114">
        <v>1</v>
      </c>
      <c r="J55" s="113">
        <v>2005</v>
      </c>
      <c r="K55" s="98" t="s">
        <v>30</v>
      </c>
      <c r="L55" s="98">
        <v>36108</v>
      </c>
      <c r="M55" s="98" t="s">
        <v>349</v>
      </c>
      <c r="N55" s="112">
        <v>1</v>
      </c>
      <c r="O55" s="169">
        <v>2</v>
      </c>
      <c r="P55" s="294"/>
      <c r="Q55" s="109">
        <v>3</v>
      </c>
      <c r="R55" s="112">
        <f t="shared" si="0"/>
        <v>0</v>
      </c>
      <c r="S55" s="111">
        <f t="shared" si="1"/>
        <v>0</v>
      </c>
      <c r="T55" s="111">
        <f t="shared" si="3"/>
        <v>1</v>
      </c>
      <c r="U55" s="97">
        <v>5517</v>
      </c>
      <c r="W55" s="121">
        <f t="shared" si="2"/>
        <v>36</v>
      </c>
    </row>
    <row r="56" spans="1:23">
      <c r="A56" s="98" t="s">
        <v>723</v>
      </c>
      <c r="B56" s="98" t="s">
        <v>720</v>
      </c>
      <c r="C56" s="98" t="s">
        <v>433</v>
      </c>
      <c r="E56" s="98" t="s">
        <v>722</v>
      </c>
      <c r="M56" s="98" t="s">
        <v>349</v>
      </c>
      <c r="N56" s="112">
        <v>1</v>
      </c>
      <c r="O56" s="169">
        <v>2</v>
      </c>
      <c r="P56" s="294"/>
      <c r="Q56" s="109">
        <v>3</v>
      </c>
      <c r="R56" s="112">
        <f t="shared" si="0"/>
        <v>0</v>
      </c>
      <c r="S56" s="111">
        <f t="shared" si="1"/>
        <v>0</v>
      </c>
      <c r="T56" s="111">
        <f t="shared" si="3"/>
        <v>1</v>
      </c>
      <c r="W56" s="121">
        <f t="shared" si="2"/>
        <v>36</v>
      </c>
    </row>
    <row r="57" spans="1:23">
      <c r="A57" s="98" t="s">
        <v>721</v>
      </c>
      <c r="B57" s="98" t="s">
        <v>720</v>
      </c>
      <c r="C57" s="98" t="s">
        <v>433</v>
      </c>
      <c r="M57" s="98" t="s">
        <v>349</v>
      </c>
      <c r="N57" s="112">
        <v>1</v>
      </c>
      <c r="O57" s="169">
        <v>2</v>
      </c>
      <c r="P57" s="294"/>
      <c r="Q57" s="109">
        <v>3</v>
      </c>
      <c r="R57" s="112">
        <f t="shared" si="0"/>
        <v>0</v>
      </c>
      <c r="S57" s="111">
        <f t="shared" si="1"/>
        <v>0</v>
      </c>
      <c r="T57" s="111">
        <f t="shared" si="3"/>
        <v>1</v>
      </c>
      <c r="W57" s="121">
        <f t="shared" si="2"/>
        <v>36</v>
      </c>
    </row>
    <row r="58" spans="1:23">
      <c r="A58" s="98" t="s">
        <v>719</v>
      </c>
      <c r="B58" s="98" t="s">
        <v>554</v>
      </c>
      <c r="C58" s="98" t="s">
        <v>521</v>
      </c>
      <c r="D58" s="98" t="s">
        <v>718</v>
      </c>
      <c r="E58" s="98" t="s">
        <v>717</v>
      </c>
      <c r="F58" s="98" t="s">
        <v>682</v>
      </c>
      <c r="G58" s="159">
        <v>39056</v>
      </c>
      <c r="H58" s="114">
        <v>5</v>
      </c>
      <c r="I58" s="114">
        <v>12</v>
      </c>
      <c r="J58" s="113">
        <v>2006</v>
      </c>
      <c r="K58" s="98" t="s">
        <v>30</v>
      </c>
      <c r="L58" s="98">
        <v>38227</v>
      </c>
      <c r="M58" s="98" t="s">
        <v>349</v>
      </c>
      <c r="N58" s="112">
        <v>4082.04</v>
      </c>
      <c r="O58" s="294">
        <v>2</v>
      </c>
      <c r="P58" s="294"/>
      <c r="Q58" s="109">
        <v>3</v>
      </c>
      <c r="R58" s="112">
        <f t="shared" si="0"/>
        <v>113.36222222222221</v>
      </c>
      <c r="S58" s="111">
        <f t="shared" si="1"/>
        <v>4081.04</v>
      </c>
      <c r="T58" s="111">
        <f t="shared" si="3"/>
        <v>1</v>
      </c>
      <c r="U58" s="97">
        <v>9000</v>
      </c>
      <c r="W58" s="121">
        <f t="shared" si="2"/>
        <v>36</v>
      </c>
    </row>
    <row r="59" spans="1:23">
      <c r="A59" s="98" t="s">
        <v>716</v>
      </c>
      <c r="B59" s="98" t="s">
        <v>715</v>
      </c>
      <c r="C59" s="98" t="s">
        <v>433</v>
      </c>
      <c r="D59" s="98" t="s">
        <v>573</v>
      </c>
      <c r="E59" s="98" t="s">
        <v>714</v>
      </c>
      <c r="M59" s="98" t="s">
        <v>349</v>
      </c>
      <c r="N59" s="112">
        <v>1</v>
      </c>
      <c r="O59" s="169">
        <v>2</v>
      </c>
      <c r="P59" s="294"/>
      <c r="Q59" s="109">
        <v>3</v>
      </c>
      <c r="R59" s="112">
        <f t="shared" si="0"/>
        <v>0</v>
      </c>
      <c r="S59" s="111">
        <f t="shared" si="1"/>
        <v>0</v>
      </c>
      <c r="T59" s="111">
        <f t="shared" si="3"/>
        <v>1</v>
      </c>
      <c r="W59" s="121">
        <f t="shared" si="2"/>
        <v>36</v>
      </c>
    </row>
    <row r="60" spans="1:23">
      <c r="A60" s="98" t="s">
        <v>713</v>
      </c>
      <c r="B60" s="98" t="s">
        <v>712</v>
      </c>
      <c r="C60" s="98" t="s">
        <v>711</v>
      </c>
      <c r="M60" s="98" t="s">
        <v>349</v>
      </c>
      <c r="N60" s="112">
        <v>1</v>
      </c>
      <c r="O60" s="169">
        <v>2</v>
      </c>
      <c r="P60" s="294"/>
      <c r="Q60" s="109">
        <v>3</v>
      </c>
      <c r="R60" s="112">
        <f t="shared" si="0"/>
        <v>0</v>
      </c>
      <c r="S60" s="111">
        <f t="shared" si="1"/>
        <v>0</v>
      </c>
      <c r="T60" s="111">
        <f t="shared" si="3"/>
        <v>1</v>
      </c>
      <c r="W60" s="121">
        <f t="shared" si="2"/>
        <v>36</v>
      </c>
    </row>
    <row r="61" spans="1:23">
      <c r="A61" s="98" t="s">
        <v>710</v>
      </c>
      <c r="B61" s="98" t="s">
        <v>709</v>
      </c>
      <c r="C61" s="98" t="s">
        <v>708</v>
      </c>
      <c r="D61" s="98" t="s">
        <v>707</v>
      </c>
      <c r="E61" s="98" t="s">
        <v>706</v>
      </c>
      <c r="M61" s="98" t="s">
        <v>349</v>
      </c>
      <c r="N61" s="112">
        <v>1</v>
      </c>
      <c r="O61" s="169">
        <v>2</v>
      </c>
      <c r="P61" s="294" t="s">
        <v>514</v>
      </c>
      <c r="Q61" s="109">
        <v>3</v>
      </c>
      <c r="R61" s="112">
        <f t="shared" si="0"/>
        <v>0</v>
      </c>
      <c r="S61" s="111">
        <f t="shared" si="1"/>
        <v>0</v>
      </c>
      <c r="T61" s="111">
        <f t="shared" si="3"/>
        <v>1</v>
      </c>
      <c r="W61" s="121">
        <f t="shared" si="2"/>
        <v>36</v>
      </c>
    </row>
    <row r="62" spans="1:23">
      <c r="A62" s="98" t="s">
        <v>705</v>
      </c>
      <c r="B62" s="98" t="s">
        <v>704</v>
      </c>
      <c r="C62" s="98" t="s">
        <v>511</v>
      </c>
      <c r="D62" s="98" t="s">
        <v>703</v>
      </c>
      <c r="E62" s="98" t="s">
        <v>702</v>
      </c>
      <c r="M62" s="98" t="s">
        <v>349</v>
      </c>
      <c r="N62" s="112">
        <v>1</v>
      </c>
      <c r="O62" s="169">
        <v>2</v>
      </c>
      <c r="P62" s="294"/>
      <c r="Q62" s="109">
        <v>3</v>
      </c>
      <c r="R62" s="112">
        <f t="shared" si="0"/>
        <v>0</v>
      </c>
      <c r="S62" s="111">
        <f t="shared" si="1"/>
        <v>0</v>
      </c>
      <c r="T62" s="111">
        <f t="shared" si="3"/>
        <v>1</v>
      </c>
      <c r="W62" s="121">
        <f t="shared" si="2"/>
        <v>36</v>
      </c>
    </row>
    <row r="63" spans="1:23">
      <c r="A63" s="98" t="s">
        <v>701</v>
      </c>
      <c r="B63" s="98" t="s">
        <v>639</v>
      </c>
      <c r="C63" s="98" t="s">
        <v>511</v>
      </c>
      <c r="D63" s="98" t="s">
        <v>638</v>
      </c>
      <c r="E63" s="98" t="s">
        <v>700</v>
      </c>
      <c r="M63" s="98" t="s">
        <v>349</v>
      </c>
      <c r="N63" s="112">
        <v>1</v>
      </c>
      <c r="O63" s="169">
        <v>2</v>
      </c>
      <c r="P63" s="294"/>
      <c r="Q63" s="109">
        <v>3</v>
      </c>
      <c r="R63" s="112">
        <f t="shared" si="0"/>
        <v>0</v>
      </c>
      <c r="S63" s="111">
        <f t="shared" si="1"/>
        <v>0</v>
      </c>
      <c r="T63" s="111">
        <f t="shared" si="3"/>
        <v>1</v>
      </c>
      <c r="W63" s="121">
        <f t="shared" si="2"/>
        <v>36</v>
      </c>
    </row>
    <row r="64" spans="1:23">
      <c r="A64" s="98" t="s">
        <v>699</v>
      </c>
      <c r="B64" s="98" t="s">
        <v>581</v>
      </c>
      <c r="C64" s="98" t="s">
        <v>521</v>
      </c>
      <c r="D64" s="98">
        <v>5650</v>
      </c>
      <c r="E64" s="98" t="s">
        <v>698</v>
      </c>
      <c r="M64" s="98" t="s">
        <v>349</v>
      </c>
      <c r="N64" s="112">
        <v>1</v>
      </c>
      <c r="O64" s="169">
        <v>2</v>
      </c>
      <c r="P64" s="294"/>
      <c r="Q64" s="109">
        <v>3</v>
      </c>
      <c r="R64" s="112">
        <f t="shared" si="0"/>
        <v>0</v>
      </c>
      <c r="S64" s="111">
        <f t="shared" si="1"/>
        <v>0</v>
      </c>
      <c r="T64" s="111">
        <f t="shared" si="3"/>
        <v>1</v>
      </c>
      <c r="W64" s="121">
        <f t="shared" si="2"/>
        <v>36</v>
      </c>
    </row>
    <row r="65" spans="1:23">
      <c r="A65" s="98" t="s">
        <v>697</v>
      </c>
      <c r="B65" s="98" t="s">
        <v>688</v>
      </c>
      <c r="C65" s="98" t="s">
        <v>511</v>
      </c>
      <c r="M65" s="98" t="s">
        <v>349</v>
      </c>
      <c r="N65" s="112">
        <v>1</v>
      </c>
      <c r="O65" s="169">
        <v>2</v>
      </c>
      <c r="P65" s="294"/>
      <c r="Q65" s="109">
        <v>3</v>
      </c>
      <c r="R65" s="112">
        <f t="shared" si="0"/>
        <v>0</v>
      </c>
      <c r="S65" s="111">
        <f t="shared" si="1"/>
        <v>0</v>
      </c>
      <c r="T65" s="111">
        <f t="shared" si="3"/>
        <v>1</v>
      </c>
      <c r="W65" s="121">
        <f t="shared" si="2"/>
        <v>36</v>
      </c>
    </row>
    <row r="66" spans="1:23">
      <c r="A66" s="98" t="s">
        <v>696</v>
      </c>
      <c r="B66" s="98" t="s">
        <v>664</v>
      </c>
      <c r="C66" s="98" t="s">
        <v>511</v>
      </c>
      <c r="E66" s="98" t="s">
        <v>695</v>
      </c>
      <c r="M66" s="98" t="s">
        <v>349</v>
      </c>
      <c r="N66" s="112">
        <v>1</v>
      </c>
      <c r="O66" s="169">
        <v>2</v>
      </c>
      <c r="P66" s="294"/>
      <c r="Q66" s="109">
        <v>3</v>
      </c>
      <c r="R66" s="112">
        <f t="shared" si="0"/>
        <v>0</v>
      </c>
      <c r="S66" s="111">
        <f t="shared" si="1"/>
        <v>0</v>
      </c>
      <c r="T66" s="111">
        <f t="shared" si="3"/>
        <v>1</v>
      </c>
      <c r="W66" s="121">
        <f t="shared" si="2"/>
        <v>36</v>
      </c>
    </row>
    <row r="67" spans="1:23">
      <c r="A67" s="98" t="s">
        <v>694</v>
      </c>
      <c r="B67" s="98" t="s">
        <v>574</v>
      </c>
      <c r="C67" s="98" t="s">
        <v>549</v>
      </c>
      <c r="D67" s="98">
        <v>500</v>
      </c>
      <c r="E67" s="98" t="s">
        <v>693</v>
      </c>
      <c r="M67" s="98" t="s">
        <v>349</v>
      </c>
      <c r="N67" s="112">
        <v>1</v>
      </c>
      <c r="O67" s="169">
        <v>2</v>
      </c>
      <c r="P67" s="294"/>
      <c r="Q67" s="109">
        <v>3</v>
      </c>
      <c r="R67" s="112">
        <f t="shared" si="0"/>
        <v>0</v>
      </c>
      <c r="S67" s="111">
        <f t="shared" si="1"/>
        <v>0</v>
      </c>
      <c r="T67" s="111">
        <f t="shared" si="3"/>
        <v>1</v>
      </c>
      <c r="W67" s="121">
        <f t="shared" si="2"/>
        <v>36</v>
      </c>
    </row>
    <row r="68" spans="1:23">
      <c r="A68" s="98" t="s">
        <v>692</v>
      </c>
      <c r="B68" s="98" t="s">
        <v>691</v>
      </c>
      <c r="C68" s="98" t="s">
        <v>511</v>
      </c>
      <c r="D68" s="98" t="s">
        <v>638</v>
      </c>
      <c r="E68" s="98" t="s">
        <v>690</v>
      </c>
      <c r="M68" s="98" t="s">
        <v>349</v>
      </c>
      <c r="N68" s="112">
        <v>1</v>
      </c>
      <c r="O68" s="169">
        <v>2</v>
      </c>
      <c r="P68" s="294"/>
      <c r="Q68" s="109">
        <v>3</v>
      </c>
      <c r="R68" s="112">
        <f t="shared" si="0"/>
        <v>0</v>
      </c>
      <c r="S68" s="111">
        <f t="shared" si="1"/>
        <v>0</v>
      </c>
      <c r="T68" s="111">
        <f t="shared" si="3"/>
        <v>1</v>
      </c>
      <c r="W68" s="121">
        <f t="shared" si="2"/>
        <v>36</v>
      </c>
    </row>
    <row r="69" spans="1:23">
      <c r="A69" s="98" t="s">
        <v>689</v>
      </c>
      <c r="B69" s="98" t="s">
        <v>688</v>
      </c>
      <c r="C69" s="98" t="s">
        <v>511</v>
      </c>
      <c r="M69" s="98" t="s">
        <v>349</v>
      </c>
      <c r="N69" s="112">
        <v>1</v>
      </c>
      <c r="O69" s="169">
        <v>2</v>
      </c>
      <c r="P69" s="294"/>
      <c r="Q69" s="109">
        <v>3</v>
      </c>
      <c r="R69" s="112">
        <f t="shared" si="0"/>
        <v>0</v>
      </c>
      <c r="S69" s="111">
        <f t="shared" si="1"/>
        <v>0</v>
      </c>
      <c r="T69" s="111">
        <f t="shared" si="3"/>
        <v>1</v>
      </c>
      <c r="W69" s="121">
        <f t="shared" si="2"/>
        <v>36</v>
      </c>
    </row>
    <row r="70" spans="1:23">
      <c r="A70" s="98" t="s">
        <v>687</v>
      </c>
      <c r="B70" s="98" t="s">
        <v>664</v>
      </c>
      <c r="C70" s="98" t="s">
        <v>511</v>
      </c>
      <c r="E70" s="98" t="s">
        <v>686</v>
      </c>
      <c r="M70" s="98" t="s">
        <v>349</v>
      </c>
      <c r="N70" s="112">
        <v>1</v>
      </c>
      <c r="O70" s="169">
        <v>2</v>
      </c>
      <c r="P70" s="294"/>
      <c r="Q70" s="109">
        <v>3</v>
      </c>
      <c r="R70" s="112">
        <f t="shared" si="0"/>
        <v>0</v>
      </c>
      <c r="S70" s="111">
        <f t="shared" si="1"/>
        <v>0</v>
      </c>
      <c r="T70" s="111">
        <f t="shared" si="3"/>
        <v>1</v>
      </c>
      <c r="W70" s="121">
        <f t="shared" si="2"/>
        <v>36</v>
      </c>
    </row>
    <row r="71" spans="1:23">
      <c r="A71" s="98" t="s">
        <v>685</v>
      </c>
      <c r="B71" s="98" t="s">
        <v>684</v>
      </c>
      <c r="C71" s="98" t="s">
        <v>521</v>
      </c>
      <c r="D71" s="98">
        <v>1315</v>
      </c>
      <c r="E71" s="98" t="s">
        <v>683</v>
      </c>
      <c r="F71" s="98" t="s">
        <v>682</v>
      </c>
      <c r="G71" s="159">
        <v>38400</v>
      </c>
      <c r="H71" s="114">
        <v>17</v>
      </c>
      <c r="I71" s="114">
        <v>2</v>
      </c>
      <c r="J71" s="113">
        <v>2005</v>
      </c>
      <c r="K71" s="98" t="s">
        <v>30</v>
      </c>
      <c r="L71" s="98">
        <v>36223</v>
      </c>
      <c r="M71" s="98" t="s">
        <v>349</v>
      </c>
      <c r="N71" s="112">
        <v>3760</v>
      </c>
      <c r="O71" s="169">
        <v>2</v>
      </c>
      <c r="P71" s="294"/>
      <c r="Q71" s="109">
        <v>3</v>
      </c>
      <c r="R71" s="112">
        <f t="shared" ref="R71:R134" si="4">(((N71)-1)/3)/12</f>
        <v>104.41666666666667</v>
      </c>
      <c r="S71" s="111">
        <f t="shared" ref="S71:S134" si="5">R71*W71</f>
        <v>3759</v>
      </c>
      <c r="T71" s="111">
        <f t="shared" si="3"/>
        <v>1</v>
      </c>
      <c r="U71" s="97">
        <v>5752</v>
      </c>
      <c r="W71" s="121">
        <f t="shared" ref="W71:W134" si="6">IF((DATEDIF(G71,W$4,"m"))&gt;=36,36,(DATEDIF(G71,W$4,"m")))</f>
        <v>36</v>
      </c>
    </row>
    <row r="72" spans="1:23">
      <c r="A72" s="98" t="s">
        <v>681</v>
      </c>
      <c r="B72" s="98" t="s">
        <v>574</v>
      </c>
      <c r="C72" s="98" t="s">
        <v>680</v>
      </c>
      <c r="D72" s="98" t="s">
        <v>679</v>
      </c>
      <c r="E72" s="98" t="s">
        <v>678</v>
      </c>
      <c r="M72" s="98" t="s">
        <v>349</v>
      </c>
      <c r="N72" s="112">
        <v>1</v>
      </c>
      <c r="O72" s="169">
        <v>2</v>
      </c>
      <c r="P72" s="294"/>
      <c r="Q72" s="109">
        <v>3</v>
      </c>
      <c r="R72" s="112">
        <f t="shared" si="4"/>
        <v>0</v>
      </c>
      <c r="S72" s="111">
        <f t="shared" si="5"/>
        <v>0</v>
      </c>
      <c r="T72" s="111">
        <f t="shared" ref="T72:T135" si="7">N72-S72</f>
        <v>1</v>
      </c>
      <c r="W72" s="121">
        <f t="shared" si="6"/>
        <v>36</v>
      </c>
    </row>
    <row r="73" spans="1:23" ht="31.5">
      <c r="A73" s="98" t="s">
        <v>677</v>
      </c>
      <c r="B73" s="98" t="s">
        <v>586</v>
      </c>
      <c r="C73" s="98" t="s">
        <v>676</v>
      </c>
      <c r="D73" s="98" t="s">
        <v>675</v>
      </c>
      <c r="E73" s="98" t="s">
        <v>674</v>
      </c>
      <c r="F73" s="98" t="s">
        <v>448</v>
      </c>
      <c r="G73" s="159">
        <v>37764</v>
      </c>
      <c r="H73" s="114">
        <v>23</v>
      </c>
      <c r="I73" s="114">
        <v>5</v>
      </c>
      <c r="J73" s="113">
        <v>2003</v>
      </c>
      <c r="K73" s="98" t="s">
        <v>30</v>
      </c>
      <c r="L73" s="98">
        <v>11994</v>
      </c>
      <c r="M73" s="98" t="s">
        <v>349</v>
      </c>
      <c r="N73" s="112">
        <v>59000</v>
      </c>
      <c r="O73" s="169">
        <v>2</v>
      </c>
      <c r="P73" s="160" t="s">
        <v>673</v>
      </c>
      <c r="Q73" s="109">
        <v>3</v>
      </c>
      <c r="R73" s="112">
        <f t="shared" si="4"/>
        <v>1638.8611111111111</v>
      </c>
      <c r="S73" s="111">
        <f t="shared" si="5"/>
        <v>58999</v>
      </c>
      <c r="T73" s="111">
        <f t="shared" si="7"/>
        <v>1</v>
      </c>
      <c r="U73" s="97">
        <v>1558</v>
      </c>
      <c r="W73" s="121">
        <f t="shared" si="6"/>
        <v>36</v>
      </c>
    </row>
    <row r="74" spans="1:23">
      <c r="B74" s="98" t="s">
        <v>2698</v>
      </c>
      <c r="C74" s="98" t="s">
        <v>672</v>
      </c>
      <c r="D74" s="98" t="s">
        <v>671</v>
      </c>
      <c r="E74" s="98" t="s">
        <v>670</v>
      </c>
      <c r="F74" s="98" t="s">
        <v>448</v>
      </c>
      <c r="G74" s="159">
        <v>38729</v>
      </c>
      <c r="H74" s="114">
        <v>12</v>
      </c>
      <c r="I74" s="114">
        <v>1</v>
      </c>
      <c r="J74" s="113">
        <v>2006</v>
      </c>
      <c r="K74" s="98" t="s">
        <v>30</v>
      </c>
      <c r="L74" s="98">
        <v>13809</v>
      </c>
      <c r="M74" s="98" t="s">
        <v>349</v>
      </c>
      <c r="N74" s="112">
        <v>79808</v>
      </c>
      <c r="O74" s="169">
        <v>2</v>
      </c>
      <c r="P74" s="294"/>
      <c r="Q74" s="109">
        <v>3</v>
      </c>
      <c r="R74" s="112">
        <f t="shared" si="4"/>
        <v>2216.8611111111109</v>
      </c>
      <c r="S74" s="111">
        <f t="shared" si="5"/>
        <v>79806.999999999985</v>
      </c>
      <c r="T74" s="111">
        <f t="shared" si="7"/>
        <v>1.0000000000145519</v>
      </c>
      <c r="U74" s="97">
        <v>7849</v>
      </c>
      <c r="W74" s="121">
        <f t="shared" si="6"/>
        <v>36</v>
      </c>
    </row>
    <row r="75" spans="1:23">
      <c r="A75" s="98" t="s">
        <v>669</v>
      </c>
      <c r="B75" s="98" t="s">
        <v>668</v>
      </c>
      <c r="C75" s="98" t="s">
        <v>521</v>
      </c>
      <c r="D75" s="98" t="s">
        <v>627</v>
      </c>
      <c r="E75" s="98" t="s">
        <v>667</v>
      </c>
      <c r="F75" s="98" t="s">
        <v>666</v>
      </c>
      <c r="G75" s="159">
        <v>37490</v>
      </c>
      <c r="H75" s="114">
        <v>22</v>
      </c>
      <c r="I75" s="114">
        <v>8</v>
      </c>
      <c r="J75" s="113">
        <v>2002</v>
      </c>
      <c r="K75" s="98" t="s">
        <v>30</v>
      </c>
      <c r="L75" s="98">
        <v>17260</v>
      </c>
      <c r="M75" s="98" t="s">
        <v>349</v>
      </c>
      <c r="N75" s="168">
        <v>1</v>
      </c>
      <c r="O75" s="169">
        <v>2</v>
      </c>
      <c r="P75" s="294"/>
      <c r="Q75" s="109">
        <v>3</v>
      </c>
      <c r="R75" s="112">
        <f t="shared" si="4"/>
        <v>0</v>
      </c>
      <c r="S75" s="111">
        <f t="shared" si="5"/>
        <v>0</v>
      </c>
      <c r="T75" s="111">
        <f t="shared" si="7"/>
        <v>1</v>
      </c>
      <c r="U75" s="97">
        <v>701</v>
      </c>
      <c r="W75" s="121">
        <f t="shared" si="6"/>
        <v>36</v>
      </c>
    </row>
    <row r="76" spans="1:23">
      <c r="A76" s="98" t="s">
        <v>665</v>
      </c>
      <c r="B76" s="98" t="s">
        <v>664</v>
      </c>
      <c r="C76" s="98" t="s">
        <v>663</v>
      </c>
      <c r="M76" s="98" t="s">
        <v>349</v>
      </c>
      <c r="N76" s="168">
        <v>1</v>
      </c>
      <c r="O76" s="169">
        <v>2</v>
      </c>
      <c r="P76" s="294"/>
      <c r="Q76" s="109">
        <v>3</v>
      </c>
      <c r="R76" s="112">
        <f t="shared" si="4"/>
        <v>0</v>
      </c>
      <c r="S76" s="111">
        <f t="shared" si="5"/>
        <v>0</v>
      </c>
      <c r="T76" s="111">
        <f t="shared" si="7"/>
        <v>1</v>
      </c>
      <c r="W76" s="121">
        <f t="shared" si="6"/>
        <v>36</v>
      </c>
    </row>
    <row r="77" spans="1:23">
      <c r="A77" s="98" t="s">
        <v>662</v>
      </c>
      <c r="B77" s="98" t="s">
        <v>661</v>
      </c>
      <c r="C77" s="98" t="s">
        <v>511</v>
      </c>
      <c r="D77" s="98" t="s">
        <v>573</v>
      </c>
      <c r="E77" s="98" t="s">
        <v>660</v>
      </c>
      <c r="M77" s="98" t="s">
        <v>349</v>
      </c>
      <c r="N77" s="168">
        <v>1</v>
      </c>
      <c r="O77" s="169">
        <v>2</v>
      </c>
      <c r="P77" s="294"/>
      <c r="Q77" s="109">
        <v>3</v>
      </c>
      <c r="R77" s="112">
        <f t="shared" si="4"/>
        <v>0</v>
      </c>
      <c r="S77" s="111">
        <f t="shared" si="5"/>
        <v>0</v>
      </c>
      <c r="T77" s="111">
        <f t="shared" si="7"/>
        <v>1</v>
      </c>
      <c r="W77" s="121">
        <f t="shared" si="6"/>
        <v>36</v>
      </c>
    </row>
    <row r="78" spans="1:23">
      <c r="A78" s="98" t="s">
        <v>659</v>
      </c>
      <c r="B78" s="98" t="s">
        <v>658</v>
      </c>
      <c r="C78" s="98" t="s">
        <v>511</v>
      </c>
      <c r="E78" s="98" t="s">
        <v>657</v>
      </c>
      <c r="M78" s="98" t="s">
        <v>349</v>
      </c>
      <c r="N78" s="168">
        <v>1</v>
      </c>
      <c r="O78" s="169">
        <v>2</v>
      </c>
      <c r="P78" s="294"/>
      <c r="Q78" s="109">
        <v>3</v>
      </c>
      <c r="R78" s="112">
        <f t="shared" si="4"/>
        <v>0</v>
      </c>
      <c r="S78" s="111">
        <f t="shared" si="5"/>
        <v>0</v>
      </c>
      <c r="T78" s="111">
        <f t="shared" si="7"/>
        <v>1</v>
      </c>
      <c r="W78" s="121">
        <f t="shared" si="6"/>
        <v>36</v>
      </c>
    </row>
    <row r="79" spans="1:23">
      <c r="A79" s="98" t="s">
        <v>656</v>
      </c>
      <c r="B79" s="98" t="s">
        <v>655</v>
      </c>
      <c r="C79" s="98" t="s">
        <v>511</v>
      </c>
      <c r="M79" s="98" t="s">
        <v>349</v>
      </c>
      <c r="N79" s="168">
        <v>1</v>
      </c>
      <c r="O79" s="169">
        <v>2</v>
      </c>
      <c r="P79" s="294"/>
      <c r="Q79" s="109">
        <v>3</v>
      </c>
      <c r="R79" s="112">
        <f t="shared" si="4"/>
        <v>0</v>
      </c>
      <c r="S79" s="111">
        <f t="shared" si="5"/>
        <v>0</v>
      </c>
      <c r="T79" s="111">
        <f t="shared" si="7"/>
        <v>1</v>
      </c>
      <c r="W79" s="121">
        <f t="shared" si="6"/>
        <v>36</v>
      </c>
    </row>
    <row r="80" spans="1:23">
      <c r="A80" s="98" t="s">
        <v>654</v>
      </c>
      <c r="B80" s="98" t="s">
        <v>639</v>
      </c>
      <c r="C80" s="98" t="s">
        <v>615</v>
      </c>
      <c r="D80" s="98" t="s">
        <v>632</v>
      </c>
      <c r="E80" s="98" t="s">
        <v>653</v>
      </c>
      <c r="M80" s="98" t="s">
        <v>349</v>
      </c>
      <c r="N80" s="112">
        <v>1</v>
      </c>
      <c r="O80" s="169">
        <v>2</v>
      </c>
      <c r="P80" s="294"/>
      <c r="Q80" s="109">
        <v>3</v>
      </c>
      <c r="R80" s="112">
        <f t="shared" si="4"/>
        <v>0</v>
      </c>
      <c r="S80" s="111">
        <f t="shared" si="5"/>
        <v>0</v>
      </c>
      <c r="T80" s="111">
        <f t="shared" si="7"/>
        <v>1</v>
      </c>
      <c r="W80" s="121">
        <f t="shared" si="6"/>
        <v>36</v>
      </c>
    </row>
    <row r="81" spans="1:23">
      <c r="A81" s="98" t="s">
        <v>652</v>
      </c>
      <c r="B81" s="98" t="s">
        <v>651</v>
      </c>
      <c r="C81" s="98" t="s">
        <v>521</v>
      </c>
      <c r="D81" s="98" t="s">
        <v>650</v>
      </c>
      <c r="E81" s="98" t="s">
        <v>649</v>
      </c>
      <c r="M81" s="98" t="s">
        <v>349</v>
      </c>
      <c r="N81" s="112">
        <v>1</v>
      </c>
      <c r="O81" s="169">
        <v>2</v>
      </c>
      <c r="P81" s="98" t="s">
        <v>648</v>
      </c>
      <c r="Q81" s="109">
        <v>3</v>
      </c>
      <c r="R81" s="112">
        <f t="shared" si="4"/>
        <v>0</v>
      </c>
      <c r="S81" s="111">
        <f t="shared" si="5"/>
        <v>0</v>
      </c>
      <c r="T81" s="111">
        <f t="shared" si="7"/>
        <v>1</v>
      </c>
      <c r="W81" s="121">
        <f t="shared" si="6"/>
        <v>36</v>
      </c>
    </row>
    <row r="82" spans="1:23">
      <c r="A82" s="98" t="s">
        <v>647</v>
      </c>
      <c r="B82" s="98" t="s">
        <v>639</v>
      </c>
      <c r="C82" s="98" t="s">
        <v>511</v>
      </c>
      <c r="D82" s="98" t="s">
        <v>646</v>
      </c>
      <c r="E82" s="98" t="s">
        <v>645</v>
      </c>
      <c r="M82" s="98" t="s">
        <v>349</v>
      </c>
      <c r="N82" s="112">
        <v>1</v>
      </c>
      <c r="O82" s="169">
        <v>2</v>
      </c>
      <c r="P82" s="294"/>
      <c r="Q82" s="109">
        <v>3</v>
      </c>
      <c r="R82" s="112">
        <f t="shared" si="4"/>
        <v>0</v>
      </c>
      <c r="S82" s="111">
        <f t="shared" si="5"/>
        <v>0</v>
      </c>
      <c r="T82" s="111">
        <f t="shared" si="7"/>
        <v>1</v>
      </c>
      <c r="W82" s="121">
        <f t="shared" si="6"/>
        <v>36</v>
      </c>
    </row>
    <row r="83" spans="1:23">
      <c r="A83" s="98" t="s">
        <v>644</v>
      </c>
      <c r="B83" s="98" t="s">
        <v>643</v>
      </c>
      <c r="C83" s="98" t="s">
        <v>511</v>
      </c>
      <c r="D83" s="98" t="s">
        <v>573</v>
      </c>
      <c r="E83" s="98" t="s">
        <v>642</v>
      </c>
      <c r="M83" s="98" t="s">
        <v>349</v>
      </c>
      <c r="N83" s="112">
        <v>1</v>
      </c>
      <c r="O83" s="169">
        <v>2</v>
      </c>
      <c r="P83" s="294" t="s">
        <v>641</v>
      </c>
      <c r="Q83" s="109">
        <v>3</v>
      </c>
      <c r="R83" s="112">
        <f t="shared" si="4"/>
        <v>0</v>
      </c>
      <c r="S83" s="111">
        <f t="shared" si="5"/>
        <v>0</v>
      </c>
      <c r="T83" s="111">
        <f t="shared" si="7"/>
        <v>1</v>
      </c>
      <c r="W83" s="121">
        <f t="shared" si="6"/>
        <v>36</v>
      </c>
    </row>
    <row r="84" spans="1:23">
      <c r="A84" s="98" t="s">
        <v>640</v>
      </c>
      <c r="B84" s="98" t="s">
        <v>639</v>
      </c>
      <c r="C84" s="98" t="s">
        <v>511</v>
      </c>
      <c r="D84" s="98" t="s">
        <v>638</v>
      </c>
      <c r="E84" s="98" t="s">
        <v>637</v>
      </c>
      <c r="M84" s="98" t="s">
        <v>349</v>
      </c>
      <c r="N84" s="112">
        <v>1</v>
      </c>
      <c r="O84" s="169">
        <v>2</v>
      </c>
      <c r="P84" s="294"/>
      <c r="Q84" s="109">
        <v>3</v>
      </c>
      <c r="R84" s="112">
        <f t="shared" si="4"/>
        <v>0</v>
      </c>
      <c r="S84" s="111">
        <f t="shared" si="5"/>
        <v>0</v>
      </c>
      <c r="T84" s="111">
        <f t="shared" si="7"/>
        <v>1</v>
      </c>
      <c r="W84" s="121">
        <f t="shared" si="6"/>
        <v>36</v>
      </c>
    </row>
    <row r="85" spans="1:23">
      <c r="A85" s="98" t="s">
        <v>636</v>
      </c>
      <c r="B85" s="98" t="s">
        <v>618</v>
      </c>
      <c r="C85" s="98" t="s">
        <v>521</v>
      </c>
      <c r="E85" s="98" t="s">
        <v>635</v>
      </c>
      <c r="M85" s="98" t="s">
        <v>349</v>
      </c>
      <c r="N85" s="112">
        <v>1</v>
      </c>
      <c r="O85" s="169">
        <v>2</v>
      </c>
      <c r="P85" s="294"/>
      <c r="Q85" s="109">
        <v>3</v>
      </c>
      <c r="R85" s="112">
        <f t="shared" si="4"/>
        <v>0</v>
      </c>
      <c r="S85" s="111">
        <f t="shared" si="5"/>
        <v>0</v>
      </c>
      <c r="T85" s="111">
        <f t="shared" si="7"/>
        <v>1</v>
      </c>
      <c r="W85" s="121">
        <f t="shared" si="6"/>
        <v>36</v>
      </c>
    </row>
    <row r="86" spans="1:23">
      <c r="A86" s="98" t="s">
        <v>634</v>
      </c>
      <c r="B86" s="98" t="s">
        <v>633</v>
      </c>
      <c r="C86" s="98" t="s">
        <v>615</v>
      </c>
      <c r="D86" s="98" t="s">
        <v>632</v>
      </c>
      <c r="E86" s="98" t="s">
        <v>631</v>
      </c>
      <c r="M86" s="98" t="s">
        <v>349</v>
      </c>
      <c r="N86" s="112">
        <v>1</v>
      </c>
      <c r="O86" s="169">
        <v>2</v>
      </c>
      <c r="P86" s="294"/>
      <c r="Q86" s="109">
        <v>3</v>
      </c>
      <c r="R86" s="112">
        <f t="shared" si="4"/>
        <v>0</v>
      </c>
      <c r="S86" s="111">
        <f t="shared" si="5"/>
        <v>0</v>
      </c>
      <c r="T86" s="111">
        <f t="shared" si="7"/>
        <v>1</v>
      </c>
      <c r="W86" s="121">
        <f t="shared" si="6"/>
        <v>36</v>
      </c>
    </row>
    <row r="87" spans="1:23">
      <c r="A87" s="98" t="s">
        <v>630</v>
      </c>
      <c r="B87" s="98" t="s">
        <v>618</v>
      </c>
      <c r="C87" s="98" t="s">
        <v>521</v>
      </c>
      <c r="D87" s="98" t="s">
        <v>627</v>
      </c>
      <c r="E87" s="98" t="s">
        <v>629</v>
      </c>
      <c r="M87" s="98" t="s">
        <v>349</v>
      </c>
      <c r="N87" s="112">
        <v>1</v>
      </c>
      <c r="O87" s="169">
        <v>2</v>
      </c>
      <c r="P87" s="294"/>
      <c r="Q87" s="109">
        <v>3</v>
      </c>
      <c r="R87" s="112">
        <f t="shared" si="4"/>
        <v>0</v>
      </c>
      <c r="S87" s="111">
        <f t="shared" si="5"/>
        <v>0</v>
      </c>
      <c r="T87" s="111">
        <f t="shared" si="7"/>
        <v>1</v>
      </c>
      <c r="W87" s="121">
        <f t="shared" si="6"/>
        <v>36</v>
      </c>
    </row>
    <row r="88" spans="1:23">
      <c r="A88" s="98" t="s">
        <v>628</v>
      </c>
      <c r="B88" s="98" t="s">
        <v>618</v>
      </c>
      <c r="C88" s="98" t="s">
        <v>521</v>
      </c>
      <c r="D88" s="98" t="s">
        <v>627</v>
      </c>
      <c r="E88" s="98" t="s">
        <v>626</v>
      </c>
      <c r="M88" s="98" t="s">
        <v>349</v>
      </c>
      <c r="N88" s="112">
        <v>1</v>
      </c>
      <c r="O88" s="169">
        <v>2</v>
      </c>
      <c r="P88" s="294"/>
      <c r="Q88" s="109">
        <v>3</v>
      </c>
      <c r="R88" s="112">
        <f t="shared" si="4"/>
        <v>0</v>
      </c>
      <c r="S88" s="111">
        <f t="shared" si="5"/>
        <v>0</v>
      </c>
      <c r="T88" s="111">
        <f t="shared" si="7"/>
        <v>1</v>
      </c>
      <c r="W88" s="121">
        <f t="shared" si="6"/>
        <v>36</v>
      </c>
    </row>
    <row r="89" spans="1:23">
      <c r="A89" s="98" t="s">
        <v>625</v>
      </c>
      <c r="B89" s="98" t="s">
        <v>618</v>
      </c>
      <c r="C89" s="98" t="s">
        <v>521</v>
      </c>
      <c r="D89" s="98">
        <v>5181</v>
      </c>
      <c r="E89" s="98" t="s">
        <v>624</v>
      </c>
      <c r="M89" s="98" t="s">
        <v>349</v>
      </c>
      <c r="N89" s="112">
        <v>1</v>
      </c>
      <c r="O89" s="169">
        <v>2</v>
      </c>
      <c r="P89" s="294"/>
      <c r="Q89" s="109">
        <v>3</v>
      </c>
      <c r="R89" s="112">
        <f t="shared" si="4"/>
        <v>0</v>
      </c>
      <c r="S89" s="111">
        <f t="shared" si="5"/>
        <v>0</v>
      </c>
      <c r="T89" s="111">
        <f t="shared" si="7"/>
        <v>1</v>
      </c>
      <c r="W89" s="121">
        <f t="shared" si="6"/>
        <v>36</v>
      </c>
    </row>
    <row r="90" spans="1:23">
      <c r="A90" s="98" t="s">
        <v>623</v>
      </c>
      <c r="B90" s="98" t="s">
        <v>622</v>
      </c>
      <c r="C90" s="98" t="s">
        <v>615</v>
      </c>
      <c r="D90" s="98" t="s">
        <v>621</v>
      </c>
      <c r="E90" s="98" t="s">
        <v>620</v>
      </c>
      <c r="M90" s="98" t="s">
        <v>349</v>
      </c>
      <c r="N90" s="112">
        <v>1</v>
      </c>
      <c r="O90" s="169">
        <v>2</v>
      </c>
      <c r="P90" s="294"/>
      <c r="Q90" s="109">
        <v>3</v>
      </c>
      <c r="R90" s="112">
        <f t="shared" si="4"/>
        <v>0</v>
      </c>
      <c r="S90" s="111">
        <f t="shared" si="5"/>
        <v>0</v>
      </c>
      <c r="T90" s="111">
        <f t="shared" si="7"/>
        <v>1</v>
      </c>
      <c r="W90" s="121">
        <f t="shared" si="6"/>
        <v>36</v>
      </c>
    </row>
    <row r="91" spans="1:23" ht="15" customHeight="1">
      <c r="A91" s="98" t="s">
        <v>619</v>
      </c>
      <c r="B91" s="98" t="s">
        <v>618</v>
      </c>
      <c r="C91" s="98" t="s">
        <v>521</v>
      </c>
      <c r="D91" s="98">
        <v>5181</v>
      </c>
      <c r="E91" s="98" t="s">
        <v>617</v>
      </c>
      <c r="M91" s="98" t="s">
        <v>349</v>
      </c>
      <c r="N91" s="112">
        <v>1</v>
      </c>
      <c r="O91" s="169">
        <v>2</v>
      </c>
      <c r="P91" s="294"/>
      <c r="Q91" s="109">
        <v>3</v>
      </c>
      <c r="R91" s="112">
        <f t="shared" si="4"/>
        <v>0</v>
      </c>
      <c r="S91" s="111">
        <f t="shared" si="5"/>
        <v>0</v>
      </c>
      <c r="T91" s="111">
        <f t="shared" si="7"/>
        <v>1</v>
      </c>
      <c r="W91" s="121">
        <f t="shared" si="6"/>
        <v>36</v>
      </c>
    </row>
    <row r="92" spans="1:23">
      <c r="A92" s="98" t="s">
        <v>616</v>
      </c>
      <c r="B92" s="98" t="s">
        <v>574</v>
      </c>
      <c r="C92" s="98" t="s">
        <v>615</v>
      </c>
      <c r="D92" s="98" t="s">
        <v>614</v>
      </c>
      <c r="E92" s="98" t="s">
        <v>613</v>
      </c>
      <c r="M92" s="98" t="s">
        <v>349</v>
      </c>
      <c r="N92" s="112">
        <v>1</v>
      </c>
      <c r="O92" s="169">
        <v>2</v>
      </c>
      <c r="P92" s="98" t="s">
        <v>514</v>
      </c>
      <c r="Q92" s="109">
        <v>3</v>
      </c>
      <c r="R92" s="112">
        <f t="shared" si="4"/>
        <v>0</v>
      </c>
      <c r="S92" s="111">
        <f t="shared" si="5"/>
        <v>0</v>
      </c>
      <c r="T92" s="111">
        <f t="shared" si="7"/>
        <v>1</v>
      </c>
      <c r="W92" s="121">
        <f t="shared" si="6"/>
        <v>36</v>
      </c>
    </row>
    <row r="93" spans="1:23">
      <c r="A93" s="98" t="s">
        <v>612</v>
      </c>
      <c r="B93" s="98" t="s">
        <v>574</v>
      </c>
      <c r="C93" s="98" t="s">
        <v>511</v>
      </c>
      <c r="D93" s="98" t="s">
        <v>573</v>
      </c>
      <c r="E93" s="98" t="s">
        <v>611</v>
      </c>
      <c r="M93" s="98" t="s">
        <v>349</v>
      </c>
      <c r="N93" s="112">
        <v>1</v>
      </c>
      <c r="O93" s="169">
        <v>2</v>
      </c>
      <c r="P93" s="98"/>
      <c r="Q93" s="109">
        <v>3</v>
      </c>
      <c r="R93" s="112">
        <f t="shared" si="4"/>
        <v>0</v>
      </c>
      <c r="S93" s="111">
        <f t="shared" si="5"/>
        <v>0</v>
      </c>
      <c r="T93" s="111">
        <f t="shared" si="7"/>
        <v>1</v>
      </c>
      <c r="W93" s="121">
        <f t="shared" si="6"/>
        <v>36</v>
      </c>
    </row>
    <row r="94" spans="1:23">
      <c r="A94" s="98" t="s">
        <v>610</v>
      </c>
      <c r="B94" s="98" t="s">
        <v>609</v>
      </c>
      <c r="C94" s="98" t="s">
        <v>521</v>
      </c>
      <c r="D94" s="98" t="s">
        <v>608</v>
      </c>
      <c r="E94" s="98" t="s">
        <v>607</v>
      </c>
      <c r="M94" s="98" t="s">
        <v>349</v>
      </c>
      <c r="N94" s="112">
        <v>1</v>
      </c>
      <c r="O94" s="169">
        <v>2</v>
      </c>
      <c r="P94" s="98"/>
      <c r="Q94" s="109">
        <v>3</v>
      </c>
      <c r="R94" s="112">
        <f t="shared" si="4"/>
        <v>0</v>
      </c>
      <c r="S94" s="111">
        <f t="shared" si="5"/>
        <v>0</v>
      </c>
      <c r="T94" s="111">
        <f t="shared" si="7"/>
        <v>1</v>
      </c>
      <c r="W94" s="121">
        <f t="shared" si="6"/>
        <v>36</v>
      </c>
    </row>
    <row r="95" spans="1:23">
      <c r="A95" s="98" t="s">
        <v>606</v>
      </c>
      <c r="B95" s="98" t="s">
        <v>605</v>
      </c>
      <c r="C95" s="98" t="s">
        <v>511</v>
      </c>
      <c r="M95" s="98" t="s">
        <v>349</v>
      </c>
      <c r="N95" s="112">
        <v>1</v>
      </c>
      <c r="O95" s="169">
        <v>2</v>
      </c>
      <c r="P95" s="98" t="s">
        <v>563</v>
      </c>
      <c r="Q95" s="109">
        <v>3</v>
      </c>
      <c r="R95" s="112">
        <f t="shared" si="4"/>
        <v>0</v>
      </c>
      <c r="S95" s="111">
        <f t="shared" si="5"/>
        <v>0</v>
      </c>
      <c r="T95" s="111">
        <f t="shared" si="7"/>
        <v>1</v>
      </c>
      <c r="W95" s="121">
        <f t="shared" si="6"/>
        <v>36</v>
      </c>
    </row>
    <row r="96" spans="1:23">
      <c r="A96" s="98" t="s">
        <v>604</v>
      </c>
      <c r="B96" s="98" t="s">
        <v>603</v>
      </c>
      <c r="C96" s="98" t="s">
        <v>511</v>
      </c>
      <c r="E96" s="98" t="s">
        <v>602</v>
      </c>
      <c r="M96" s="98" t="s">
        <v>349</v>
      </c>
      <c r="N96" s="112">
        <v>1</v>
      </c>
      <c r="O96" s="169">
        <v>2</v>
      </c>
      <c r="P96" s="98"/>
      <c r="Q96" s="109">
        <v>3</v>
      </c>
      <c r="R96" s="112">
        <f t="shared" si="4"/>
        <v>0</v>
      </c>
      <c r="S96" s="111">
        <f t="shared" si="5"/>
        <v>0</v>
      </c>
      <c r="T96" s="111">
        <f t="shared" si="7"/>
        <v>1</v>
      </c>
      <c r="W96" s="121">
        <f t="shared" si="6"/>
        <v>36</v>
      </c>
    </row>
    <row r="97" spans="1:23">
      <c r="A97" s="98" t="s">
        <v>601</v>
      </c>
      <c r="B97" s="98" t="s">
        <v>600</v>
      </c>
      <c r="C97" s="98" t="s">
        <v>599</v>
      </c>
      <c r="D97" s="98">
        <v>827</v>
      </c>
      <c r="E97" s="98" t="s">
        <v>598</v>
      </c>
      <c r="M97" s="98" t="s">
        <v>349</v>
      </c>
      <c r="N97" s="112">
        <v>1</v>
      </c>
      <c r="O97" s="169">
        <v>2</v>
      </c>
      <c r="P97" s="98"/>
      <c r="Q97" s="109">
        <v>3</v>
      </c>
      <c r="R97" s="112">
        <f t="shared" si="4"/>
        <v>0</v>
      </c>
      <c r="S97" s="111">
        <f t="shared" si="5"/>
        <v>0</v>
      </c>
      <c r="T97" s="111">
        <f t="shared" si="7"/>
        <v>1</v>
      </c>
      <c r="W97" s="121">
        <f t="shared" si="6"/>
        <v>36</v>
      </c>
    </row>
    <row r="98" spans="1:23">
      <c r="A98" s="98" t="s">
        <v>597</v>
      </c>
      <c r="B98" s="98" t="s">
        <v>596</v>
      </c>
      <c r="C98" s="98" t="s">
        <v>521</v>
      </c>
      <c r="D98" s="98" t="s">
        <v>595</v>
      </c>
      <c r="E98" s="98" t="s">
        <v>594</v>
      </c>
      <c r="M98" s="98" t="s">
        <v>349</v>
      </c>
      <c r="N98" s="112">
        <v>1</v>
      </c>
      <c r="O98" s="169">
        <v>2</v>
      </c>
      <c r="P98" s="98" t="s">
        <v>593</v>
      </c>
      <c r="Q98" s="109">
        <v>3</v>
      </c>
      <c r="R98" s="112">
        <f t="shared" si="4"/>
        <v>0</v>
      </c>
      <c r="S98" s="111">
        <f t="shared" si="5"/>
        <v>0</v>
      </c>
      <c r="T98" s="111">
        <f t="shared" si="7"/>
        <v>1</v>
      </c>
      <c r="W98" s="121">
        <f t="shared" si="6"/>
        <v>36</v>
      </c>
    </row>
    <row r="99" spans="1:23">
      <c r="A99" s="98" t="s">
        <v>592</v>
      </c>
      <c r="B99" s="98" t="s">
        <v>591</v>
      </c>
      <c r="C99" s="98" t="s">
        <v>590</v>
      </c>
      <c r="D99" s="98" t="s">
        <v>589</v>
      </c>
      <c r="E99" s="98" t="s">
        <v>588</v>
      </c>
      <c r="F99" s="98" t="s">
        <v>535</v>
      </c>
      <c r="G99" s="159">
        <v>38754</v>
      </c>
      <c r="H99" s="114">
        <v>6</v>
      </c>
      <c r="I99" s="114">
        <v>2</v>
      </c>
      <c r="J99" s="113">
        <v>2006</v>
      </c>
      <c r="K99" s="98" t="s">
        <v>30</v>
      </c>
      <c r="L99" s="98">
        <v>13815</v>
      </c>
      <c r="M99" s="98" t="s">
        <v>349</v>
      </c>
      <c r="N99" s="112">
        <v>2635</v>
      </c>
      <c r="O99" s="294">
        <v>2</v>
      </c>
      <c r="P99" s="98"/>
      <c r="Q99" s="109">
        <v>3</v>
      </c>
      <c r="R99" s="112">
        <f t="shared" si="4"/>
        <v>73.166666666666671</v>
      </c>
      <c r="S99" s="111">
        <f t="shared" si="5"/>
        <v>2634</v>
      </c>
      <c r="T99" s="111">
        <f t="shared" si="7"/>
        <v>1</v>
      </c>
      <c r="U99" s="97">
        <v>7849</v>
      </c>
      <c r="W99" s="121">
        <f t="shared" si="6"/>
        <v>36</v>
      </c>
    </row>
    <row r="100" spans="1:23">
      <c r="A100" s="98" t="s">
        <v>587</v>
      </c>
      <c r="B100" s="98" t="s">
        <v>586</v>
      </c>
      <c r="C100" s="98" t="s">
        <v>585</v>
      </c>
      <c r="D100" s="98" t="s">
        <v>584</v>
      </c>
      <c r="E100" s="98" t="s">
        <v>583</v>
      </c>
      <c r="F100" s="98" t="s">
        <v>535</v>
      </c>
      <c r="G100" s="159">
        <v>38754</v>
      </c>
      <c r="H100" s="114">
        <v>6</v>
      </c>
      <c r="I100" s="114">
        <v>2</v>
      </c>
      <c r="J100" s="113">
        <v>2006</v>
      </c>
      <c r="K100" s="98" t="s">
        <v>30</v>
      </c>
      <c r="L100" s="98">
        <v>13873</v>
      </c>
      <c r="M100" s="98" t="s">
        <v>349</v>
      </c>
      <c r="N100" s="112">
        <v>84007.2</v>
      </c>
      <c r="O100" s="294">
        <v>2</v>
      </c>
      <c r="P100" s="98"/>
      <c r="Q100" s="109">
        <v>3</v>
      </c>
      <c r="R100" s="112">
        <f t="shared" si="4"/>
        <v>2333.5055555555555</v>
      </c>
      <c r="S100" s="111">
        <f t="shared" si="5"/>
        <v>84006.2</v>
      </c>
      <c r="T100" s="111">
        <f t="shared" si="7"/>
        <v>1</v>
      </c>
      <c r="U100" s="97">
        <v>7849</v>
      </c>
      <c r="W100" s="121">
        <f t="shared" si="6"/>
        <v>36</v>
      </c>
    </row>
    <row r="101" spans="1:23">
      <c r="A101" s="98" t="s">
        <v>582</v>
      </c>
      <c r="B101" s="98" t="s">
        <v>581</v>
      </c>
      <c r="C101" s="98" t="s">
        <v>521</v>
      </c>
      <c r="D101" s="98" t="s">
        <v>580</v>
      </c>
      <c r="E101" s="98" t="s">
        <v>579</v>
      </c>
      <c r="M101" s="98" t="s">
        <v>349</v>
      </c>
      <c r="N101" s="112">
        <v>1</v>
      </c>
      <c r="O101" s="169">
        <v>2</v>
      </c>
      <c r="P101" s="98" t="s">
        <v>514</v>
      </c>
      <c r="Q101" s="109">
        <v>3</v>
      </c>
      <c r="R101" s="112">
        <f t="shared" si="4"/>
        <v>0</v>
      </c>
      <c r="S101" s="111">
        <f t="shared" si="5"/>
        <v>0</v>
      </c>
      <c r="T101" s="111">
        <f t="shared" si="7"/>
        <v>1</v>
      </c>
      <c r="W101" s="121">
        <f t="shared" si="6"/>
        <v>36</v>
      </c>
    </row>
    <row r="102" spans="1:23">
      <c r="A102" s="98" t="s">
        <v>578</v>
      </c>
      <c r="B102" s="98" t="s">
        <v>566</v>
      </c>
      <c r="C102" s="98" t="s">
        <v>511</v>
      </c>
      <c r="D102" s="98" t="s">
        <v>577</v>
      </c>
      <c r="E102" s="98" t="s">
        <v>576</v>
      </c>
      <c r="M102" s="98" t="s">
        <v>349</v>
      </c>
      <c r="N102" s="112">
        <v>1</v>
      </c>
      <c r="O102" s="169">
        <v>2</v>
      </c>
      <c r="P102" s="98"/>
      <c r="Q102" s="109">
        <v>3</v>
      </c>
      <c r="R102" s="112">
        <f t="shared" si="4"/>
        <v>0</v>
      </c>
      <c r="S102" s="111">
        <f t="shared" si="5"/>
        <v>0</v>
      </c>
      <c r="T102" s="111">
        <f t="shared" si="7"/>
        <v>1</v>
      </c>
      <c r="W102" s="121">
        <f t="shared" si="6"/>
        <v>36</v>
      </c>
    </row>
    <row r="103" spans="1:23">
      <c r="A103" s="98" t="s">
        <v>575</v>
      </c>
      <c r="B103" s="98" t="s">
        <v>574</v>
      </c>
      <c r="C103" s="98" t="s">
        <v>511</v>
      </c>
      <c r="D103" s="98" t="s">
        <v>573</v>
      </c>
      <c r="E103" s="98" t="s">
        <v>572</v>
      </c>
      <c r="M103" s="98" t="s">
        <v>349</v>
      </c>
      <c r="N103" s="112">
        <v>1</v>
      </c>
      <c r="O103" s="169">
        <v>2</v>
      </c>
      <c r="P103" s="98" t="s">
        <v>563</v>
      </c>
      <c r="Q103" s="109">
        <v>3</v>
      </c>
      <c r="R103" s="112">
        <f t="shared" si="4"/>
        <v>0</v>
      </c>
      <c r="S103" s="111">
        <f t="shared" si="5"/>
        <v>0</v>
      </c>
      <c r="T103" s="111">
        <f t="shared" si="7"/>
        <v>1</v>
      </c>
      <c r="W103" s="121">
        <f t="shared" si="6"/>
        <v>36</v>
      </c>
    </row>
    <row r="104" spans="1:23">
      <c r="A104" s="98" t="s">
        <v>571</v>
      </c>
      <c r="B104" s="98" t="s">
        <v>570</v>
      </c>
      <c r="C104" s="98" t="s">
        <v>511</v>
      </c>
      <c r="D104" s="98" t="s">
        <v>569</v>
      </c>
      <c r="E104" s="98" t="s">
        <v>568</v>
      </c>
      <c r="M104" s="98" t="s">
        <v>349</v>
      </c>
      <c r="N104" s="112">
        <v>1</v>
      </c>
      <c r="O104" s="169">
        <v>2</v>
      </c>
      <c r="P104" s="98" t="s">
        <v>563</v>
      </c>
      <c r="Q104" s="109">
        <v>3</v>
      </c>
      <c r="R104" s="112">
        <f t="shared" si="4"/>
        <v>0</v>
      </c>
      <c r="S104" s="111">
        <f t="shared" si="5"/>
        <v>0</v>
      </c>
      <c r="T104" s="111">
        <f t="shared" si="7"/>
        <v>1</v>
      </c>
      <c r="W104" s="121">
        <f t="shared" si="6"/>
        <v>36</v>
      </c>
    </row>
    <row r="105" spans="1:23">
      <c r="A105" s="98" t="s">
        <v>567</v>
      </c>
      <c r="B105" s="98" t="s">
        <v>566</v>
      </c>
      <c r="C105" s="98" t="s">
        <v>511</v>
      </c>
      <c r="D105" s="98" t="s">
        <v>565</v>
      </c>
      <c r="E105" s="98" t="s">
        <v>564</v>
      </c>
      <c r="M105" s="98" t="s">
        <v>349</v>
      </c>
      <c r="N105" s="112">
        <v>1</v>
      </c>
      <c r="O105" s="169">
        <v>2</v>
      </c>
      <c r="P105" s="98" t="s">
        <v>563</v>
      </c>
      <c r="Q105" s="109">
        <v>3</v>
      </c>
      <c r="R105" s="112">
        <f t="shared" si="4"/>
        <v>0</v>
      </c>
      <c r="S105" s="111">
        <f t="shared" si="5"/>
        <v>0</v>
      </c>
      <c r="T105" s="111">
        <f t="shared" si="7"/>
        <v>1</v>
      </c>
      <c r="W105" s="121">
        <f t="shared" si="6"/>
        <v>36</v>
      </c>
    </row>
    <row r="106" spans="1:23">
      <c r="A106" s="98" t="s">
        <v>562</v>
      </c>
      <c r="B106" s="98" t="s">
        <v>561</v>
      </c>
      <c r="C106" s="98" t="s">
        <v>560</v>
      </c>
      <c r="D106" s="98" t="s">
        <v>559</v>
      </c>
      <c r="M106" s="98" t="s">
        <v>349</v>
      </c>
      <c r="N106" s="112">
        <v>1</v>
      </c>
      <c r="O106" s="169">
        <v>2</v>
      </c>
      <c r="P106" s="294"/>
      <c r="Q106" s="109">
        <v>3</v>
      </c>
      <c r="R106" s="112">
        <f t="shared" si="4"/>
        <v>0</v>
      </c>
      <c r="S106" s="111">
        <f t="shared" si="5"/>
        <v>0</v>
      </c>
      <c r="T106" s="111">
        <f t="shared" si="7"/>
        <v>1</v>
      </c>
      <c r="W106" s="121">
        <f t="shared" si="6"/>
        <v>36</v>
      </c>
    </row>
    <row r="107" spans="1:23">
      <c r="A107" s="98" t="s">
        <v>558</v>
      </c>
      <c r="B107" s="98" t="s">
        <v>557</v>
      </c>
      <c r="C107" s="98" t="s">
        <v>511</v>
      </c>
      <c r="E107" s="98" t="s">
        <v>556</v>
      </c>
      <c r="F107" s="98" t="s">
        <v>356</v>
      </c>
      <c r="G107" s="159">
        <v>39072</v>
      </c>
      <c r="H107" s="114">
        <v>21</v>
      </c>
      <c r="I107" s="114">
        <v>12</v>
      </c>
      <c r="J107" s="113">
        <v>2006</v>
      </c>
      <c r="K107" s="98" t="s">
        <v>30</v>
      </c>
      <c r="L107" s="98">
        <v>30324</v>
      </c>
      <c r="M107" s="98" t="s">
        <v>349</v>
      </c>
      <c r="N107" s="112">
        <v>7537.16</v>
      </c>
      <c r="O107" s="294">
        <v>2</v>
      </c>
      <c r="P107" s="294"/>
      <c r="Q107" s="109">
        <v>3</v>
      </c>
      <c r="R107" s="112">
        <f t="shared" si="4"/>
        <v>209.33777777777777</v>
      </c>
      <c r="S107" s="111">
        <f t="shared" si="5"/>
        <v>7536.16</v>
      </c>
      <c r="T107" s="111">
        <f t="shared" si="7"/>
        <v>1</v>
      </c>
      <c r="U107" s="97">
        <v>9065</v>
      </c>
      <c r="W107" s="121">
        <f t="shared" si="6"/>
        <v>36</v>
      </c>
    </row>
    <row r="108" spans="1:23">
      <c r="A108" s="98" t="s">
        <v>555</v>
      </c>
      <c r="B108" s="98" t="s">
        <v>554</v>
      </c>
      <c r="C108" s="98" t="s">
        <v>521</v>
      </c>
      <c r="D108" s="98" t="s">
        <v>553</v>
      </c>
      <c r="E108" s="98" t="s">
        <v>552</v>
      </c>
      <c r="F108" s="98" t="s">
        <v>356</v>
      </c>
      <c r="G108" s="159">
        <v>39072</v>
      </c>
      <c r="H108" s="114">
        <v>21</v>
      </c>
      <c r="I108" s="114">
        <v>12</v>
      </c>
      <c r="J108" s="113">
        <v>2006</v>
      </c>
      <c r="K108" s="98" t="s">
        <v>30</v>
      </c>
      <c r="L108" s="98">
        <v>30324</v>
      </c>
      <c r="M108" s="98" t="s">
        <v>349</v>
      </c>
      <c r="N108" s="112">
        <v>3316.16</v>
      </c>
      <c r="O108" s="294">
        <v>2</v>
      </c>
      <c r="P108" s="294"/>
      <c r="Q108" s="109">
        <v>3</v>
      </c>
      <c r="R108" s="112">
        <f t="shared" si="4"/>
        <v>92.087777777777774</v>
      </c>
      <c r="S108" s="111">
        <f t="shared" si="5"/>
        <v>3315.16</v>
      </c>
      <c r="T108" s="111">
        <f t="shared" si="7"/>
        <v>1</v>
      </c>
      <c r="U108" s="97">
        <v>9065</v>
      </c>
      <c r="W108" s="121">
        <f t="shared" si="6"/>
        <v>36</v>
      </c>
    </row>
    <row r="109" spans="1:23">
      <c r="A109" s="98" t="s">
        <v>551</v>
      </c>
      <c r="B109" s="98" t="s">
        <v>550</v>
      </c>
      <c r="C109" s="98" t="s">
        <v>549</v>
      </c>
      <c r="D109" s="98" t="s">
        <v>548</v>
      </c>
      <c r="E109" s="98" t="s">
        <v>547</v>
      </c>
      <c r="F109" s="98" t="s">
        <v>356</v>
      </c>
      <c r="G109" s="159">
        <v>38785</v>
      </c>
      <c r="H109" s="114">
        <v>9</v>
      </c>
      <c r="I109" s="114">
        <v>3</v>
      </c>
      <c r="J109" s="113">
        <v>2006</v>
      </c>
      <c r="K109" s="98" t="s">
        <v>30</v>
      </c>
      <c r="L109" s="98">
        <v>21718</v>
      </c>
      <c r="M109" s="98" t="s">
        <v>349</v>
      </c>
      <c r="N109" s="112">
        <v>29750</v>
      </c>
      <c r="O109" s="294">
        <v>2</v>
      </c>
      <c r="P109" s="294" t="s">
        <v>546</v>
      </c>
      <c r="Q109" s="109">
        <v>3</v>
      </c>
      <c r="R109" s="112">
        <f t="shared" si="4"/>
        <v>826.3611111111112</v>
      </c>
      <c r="S109" s="111">
        <f t="shared" si="5"/>
        <v>29749.000000000004</v>
      </c>
      <c r="T109" s="111">
        <f t="shared" si="7"/>
        <v>0.99999999999636202</v>
      </c>
      <c r="U109" s="97">
        <v>8079</v>
      </c>
      <c r="W109" s="121">
        <f t="shared" si="6"/>
        <v>36</v>
      </c>
    </row>
    <row r="110" spans="1:23">
      <c r="A110" s="98" t="s">
        <v>545</v>
      </c>
      <c r="B110" s="98" t="s">
        <v>544</v>
      </c>
      <c r="C110" s="98" t="s">
        <v>541</v>
      </c>
      <c r="F110" s="98" t="s">
        <v>535</v>
      </c>
      <c r="G110" s="159" t="str">
        <f t="shared" ref="G110:G141" si="8">CONCATENATE(H110,"/",I110,"/",J110,)</f>
        <v>4/6/2007</v>
      </c>
      <c r="H110" s="114">
        <v>4</v>
      </c>
      <c r="I110" s="114">
        <v>6</v>
      </c>
      <c r="J110" s="113">
        <v>2007</v>
      </c>
      <c r="K110" s="98" t="s">
        <v>30</v>
      </c>
      <c r="L110" s="98">
        <v>15965</v>
      </c>
      <c r="M110" s="98" t="s">
        <v>349</v>
      </c>
      <c r="N110" s="168">
        <v>4176</v>
      </c>
      <c r="Q110" s="97">
        <v>3</v>
      </c>
      <c r="R110" s="112">
        <f t="shared" si="4"/>
        <v>115.97222222222223</v>
      </c>
      <c r="S110" s="111">
        <f t="shared" si="5"/>
        <v>4175</v>
      </c>
      <c r="T110" s="111">
        <f t="shared" si="7"/>
        <v>1</v>
      </c>
      <c r="U110" s="97">
        <v>9756</v>
      </c>
      <c r="W110" s="121">
        <f t="shared" si="6"/>
        <v>36</v>
      </c>
    </row>
    <row r="111" spans="1:23">
      <c r="A111" s="98" t="s">
        <v>543</v>
      </c>
      <c r="B111" s="98" t="s">
        <v>542</v>
      </c>
      <c r="C111" s="98" t="s">
        <v>541</v>
      </c>
      <c r="F111" s="98" t="s">
        <v>535</v>
      </c>
      <c r="G111" s="159" t="str">
        <f t="shared" si="8"/>
        <v>4/6/2007</v>
      </c>
      <c r="H111" s="114">
        <v>4</v>
      </c>
      <c r="I111" s="114">
        <v>6</v>
      </c>
      <c r="J111" s="113">
        <v>2007</v>
      </c>
      <c r="K111" s="98" t="s">
        <v>30</v>
      </c>
      <c r="L111" s="98">
        <v>15965</v>
      </c>
      <c r="M111" s="98" t="s">
        <v>349</v>
      </c>
      <c r="N111" s="168">
        <v>10092</v>
      </c>
      <c r="Q111" s="97">
        <v>3</v>
      </c>
      <c r="R111" s="112">
        <f t="shared" si="4"/>
        <v>280.30555555555554</v>
      </c>
      <c r="S111" s="111">
        <f t="shared" si="5"/>
        <v>10091</v>
      </c>
      <c r="T111" s="111">
        <f t="shared" si="7"/>
        <v>1</v>
      </c>
      <c r="U111" s="97">
        <v>9756</v>
      </c>
      <c r="W111" s="121">
        <f t="shared" si="6"/>
        <v>36</v>
      </c>
    </row>
    <row r="112" spans="1:23">
      <c r="A112" s="98" t="s">
        <v>540</v>
      </c>
      <c r="B112" s="98" t="s">
        <v>539</v>
      </c>
      <c r="F112" s="98" t="s">
        <v>535</v>
      </c>
      <c r="G112" s="159" t="str">
        <f t="shared" si="8"/>
        <v>1/6/2007</v>
      </c>
      <c r="H112" s="114">
        <v>1</v>
      </c>
      <c r="I112" s="114">
        <v>6</v>
      </c>
      <c r="J112" s="113">
        <v>2007</v>
      </c>
      <c r="K112" s="98" t="s">
        <v>30</v>
      </c>
      <c r="L112" s="98">
        <v>15174</v>
      </c>
      <c r="M112" s="98" t="s">
        <v>349</v>
      </c>
      <c r="N112" s="112">
        <v>3079.81</v>
      </c>
      <c r="O112" s="294"/>
      <c r="P112" s="294"/>
      <c r="Q112" s="97">
        <v>3</v>
      </c>
      <c r="R112" s="112">
        <f t="shared" si="4"/>
        <v>85.522499999999994</v>
      </c>
      <c r="S112" s="111">
        <f t="shared" si="5"/>
        <v>3078.81</v>
      </c>
      <c r="T112" s="111">
        <f t="shared" si="7"/>
        <v>1</v>
      </c>
      <c r="U112" s="97">
        <v>9650</v>
      </c>
      <c r="W112" s="121">
        <f t="shared" si="6"/>
        <v>36</v>
      </c>
    </row>
    <row r="113" spans="1:23">
      <c r="A113" s="98" t="s">
        <v>538</v>
      </c>
      <c r="B113" s="98" t="s">
        <v>537</v>
      </c>
      <c r="C113" s="98" t="s">
        <v>521</v>
      </c>
      <c r="D113" s="98">
        <v>5590</v>
      </c>
      <c r="E113" s="98" t="s">
        <v>536</v>
      </c>
      <c r="F113" s="98" t="s">
        <v>535</v>
      </c>
      <c r="G113" s="159" t="str">
        <f t="shared" si="8"/>
        <v>26/10/2007</v>
      </c>
      <c r="H113" s="114">
        <v>26</v>
      </c>
      <c r="I113" s="114">
        <v>10</v>
      </c>
      <c r="J113" s="113">
        <v>2007</v>
      </c>
      <c r="K113" s="98" t="s">
        <v>30</v>
      </c>
      <c r="L113" s="98">
        <v>16714</v>
      </c>
      <c r="M113" s="98" t="s">
        <v>349</v>
      </c>
      <c r="N113" s="112">
        <v>14330</v>
      </c>
      <c r="O113" s="294"/>
      <c r="P113" s="294"/>
      <c r="Q113" s="97">
        <v>3</v>
      </c>
      <c r="R113" s="112">
        <f t="shared" si="4"/>
        <v>398.02777777777777</v>
      </c>
      <c r="S113" s="111">
        <f t="shared" si="5"/>
        <v>14329</v>
      </c>
      <c r="T113" s="111">
        <f t="shared" si="7"/>
        <v>1</v>
      </c>
      <c r="U113" s="97">
        <v>56</v>
      </c>
      <c r="W113" s="121">
        <f t="shared" si="6"/>
        <v>36</v>
      </c>
    </row>
    <row r="114" spans="1:23">
      <c r="A114" s="98" t="s">
        <v>534</v>
      </c>
      <c r="B114" s="98" t="s">
        <v>533</v>
      </c>
      <c r="C114" s="98" t="s">
        <v>521</v>
      </c>
      <c r="E114" s="98" t="s">
        <v>532</v>
      </c>
      <c r="F114" s="98" t="s">
        <v>489</v>
      </c>
      <c r="G114" s="159" t="str">
        <f t="shared" si="8"/>
        <v>26/10/2007</v>
      </c>
      <c r="H114" s="114">
        <v>26</v>
      </c>
      <c r="I114" s="114">
        <v>10</v>
      </c>
      <c r="J114" s="113">
        <v>2007</v>
      </c>
      <c r="K114" s="98" t="s">
        <v>500</v>
      </c>
      <c r="L114" s="98">
        <v>1885</v>
      </c>
      <c r="M114" s="98" t="s">
        <v>349</v>
      </c>
      <c r="N114" s="112">
        <v>81399.350000000006</v>
      </c>
      <c r="O114" s="294"/>
      <c r="P114" s="294"/>
      <c r="Q114" s="97">
        <v>3</v>
      </c>
      <c r="R114" s="112">
        <f t="shared" si="4"/>
        <v>2261.0652777777782</v>
      </c>
      <c r="S114" s="111">
        <f t="shared" si="5"/>
        <v>81398.35000000002</v>
      </c>
      <c r="T114" s="111">
        <f t="shared" si="7"/>
        <v>0.99999999998544808</v>
      </c>
      <c r="U114" s="97" t="s">
        <v>531</v>
      </c>
      <c r="W114" s="121">
        <f t="shared" si="6"/>
        <v>36</v>
      </c>
    </row>
    <row r="115" spans="1:23">
      <c r="A115" s="98" t="s">
        <v>530</v>
      </c>
      <c r="B115" s="98" t="s">
        <v>517</v>
      </c>
      <c r="C115" s="98" t="s">
        <v>511</v>
      </c>
      <c r="D115" s="98" t="s">
        <v>527</v>
      </c>
      <c r="F115" s="98" t="s">
        <v>356</v>
      </c>
      <c r="G115" s="159" t="str">
        <f t="shared" si="8"/>
        <v>16/10/2007</v>
      </c>
      <c r="H115" s="114">
        <v>16</v>
      </c>
      <c r="I115" s="114">
        <v>10</v>
      </c>
      <c r="J115" s="113">
        <v>2007</v>
      </c>
      <c r="K115" s="98" t="s">
        <v>30</v>
      </c>
      <c r="L115" s="98">
        <v>2845</v>
      </c>
      <c r="M115" s="98" t="s">
        <v>349</v>
      </c>
      <c r="N115" s="168">
        <v>44650</v>
      </c>
      <c r="O115" s="294"/>
      <c r="P115" s="294"/>
      <c r="Q115" s="97">
        <v>3</v>
      </c>
      <c r="R115" s="112">
        <f t="shared" si="4"/>
        <v>1240.25</v>
      </c>
      <c r="S115" s="111">
        <f t="shared" si="5"/>
        <v>44649</v>
      </c>
      <c r="T115" s="111">
        <f t="shared" si="7"/>
        <v>1</v>
      </c>
      <c r="U115" s="97">
        <v>57</v>
      </c>
      <c r="W115" s="121">
        <f t="shared" si="6"/>
        <v>36</v>
      </c>
    </row>
    <row r="116" spans="1:23">
      <c r="A116" s="98" t="s">
        <v>529</v>
      </c>
      <c r="B116" s="98" t="s">
        <v>517</v>
      </c>
      <c r="C116" s="98" t="s">
        <v>511</v>
      </c>
      <c r="D116" s="98" t="s">
        <v>527</v>
      </c>
      <c r="F116" s="98" t="s">
        <v>356</v>
      </c>
      <c r="G116" s="159" t="str">
        <f t="shared" si="8"/>
        <v>16/10/2007</v>
      </c>
      <c r="H116" s="114">
        <v>16</v>
      </c>
      <c r="I116" s="114">
        <v>10</v>
      </c>
      <c r="J116" s="113">
        <v>2007</v>
      </c>
      <c r="K116" s="98" t="s">
        <v>30</v>
      </c>
      <c r="L116" s="98">
        <v>2845</v>
      </c>
      <c r="M116" s="98" t="s">
        <v>349</v>
      </c>
      <c r="N116" s="168">
        <v>44650</v>
      </c>
      <c r="O116" s="294"/>
      <c r="P116" s="294"/>
      <c r="Q116" s="97">
        <v>3</v>
      </c>
      <c r="R116" s="112">
        <f t="shared" si="4"/>
        <v>1240.25</v>
      </c>
      <c r="S116" s="111">
        <f t="shared" si="5"/>
        <v>44649</v>
      </c>
      <c r="T116" s="111">
        <f t="shared" si="7"/>
        <v>1</v>
      </c>
      <c r="U116" s="97">
        <v>57</v>
      </c>
      <c r="W116" s="121">
        <f t="shared" si="6"/>
        <v>36</v>
      </c>
    </row>
    <row r="117" spans="1:23">
      <c r="A117" s="98" t="s">
        <v>528</v>
      </c>
      <c r="B117" s="98" t="s">
        <v>517</v>
      </c>
      <c r="C117" s="98" t="s">
        <v>511</v>
      </c>
      <c r="D117" s="98" t="s">
        <v>527</v>
      </c>
      <c r="F117" s="98" t="s">
        <v>356</v>
      </c>
      <c r="G117" s="159" t="str">
        <f t="shared" si="8"/>
        <v>16/10/2007</v>
      </c>
      <c r="H117" s="114">
        <v>16</v>
      </c>
      <c r="I117" s="114">
        <v>10</v>
      </c>
      <c r="J117" s="113">
        <v>2007</v>
      </c>
      <c r="K117" s="98" t="s">
        <v>30</v>
      </c>
      <c r="L117" s="98">
        <v>2845</v>
      </c>
      <c r="M117" s="98" t="s">
        <v>349</v>
      </c>
      <c r="N117" s="168">
        <v>44650</v>
      </c>
      <c r="O117" s="294"/>
      <c r="P117" s="294"/>
      <c r="Q117" s="97">
        <v>3</v>
      </c>
      <c r="R117" s="112">
        <f t="shared" si="4"/>
        <v>1240.25</v>
      </c>
      <c r="S117" s="111">
        <f t="shared" si="5"/>
        <v>44649</v>
      </c>
      <c r="T117" s="111">
        <f t="shared" si="7"/>
        <v>1</v>
      </c>
      <c r="U117" s="97">
        <v>57</v>
      </c>
      <c r="W117" s="121">
        <f t="shared" si="6"/>
        <v>36</v>
      </c>
    </row>
    <row r="118" spans="1:23">
      <c r="A118" s="98" t="s">
        <v>526</v>
      </c>
      <c r="B118" s="98" t="s">
        <v>512</v>
      </c>
      <c r="C118" s="98" t="s">
        <v>511</v>
      </c>
      <c r="F118" s="98" t="s">
        <v>356</v>
      </c>
      <c r="G118" s="159" t="str">
        <f t="shared" si="8"/>
        <v>16/10/2007</v>
      </c>
      <c r="H118" s="114">
        <v>16</v>
      </c>
      <c r="I118" s="114">
        <v>10</v>
      </c>
      <c r="J118" s="113">
        <v>2007</v>
      </c>
      <c r="K118" s="98" t="s">
        <v>30</v>
      </c>
      <c r="L118" s="98">
        <v>2845</v>
      </c>
      <c r="M118" s="98" t="s">
        <v>349</v>
      </c>
      <c r="N118" s="168">
        <v>8440</v>
      </c>
      <c r="O118" s="294"/>
      <c r="P118" s="294"/>
      <c r="Q118" s="97">
        <v>3</v>
      </c>
      <c r="R118" s="112">
        <f t="shared" si="4"/>
        <v>234.41666666666666</v>
      </c>
      <c r="S118" s="111">
        <f t="shared" si="5"/>
        <v>8439</v>
      </c>
      <c r="T118" s="111">
        <f t="shared" si="7"/>
        <v>1</v>
      </c>
      <c r="U118" s="97">
        <v>57</v>
      </c>
      <c r="W118" s="121">
        <f t="shared" si="6"/>
        <v>36</v>
      </c>
    </row>
    <row r="119" spans="1:23">
      <c r="A119" s="98" t="s">
        <v>525</v>
      </c>
      <c r="B119" s="98" t="s">
        <v>512</v>
      </c>
      <c r="C119" s="98" t="s">
        <v>511</v>
      </c>
      <c r="F119" s="98" t="s">
        <v>356</v>
      </c>
      <c r="G119" s="159" t="str">
        <f t="shared" si="8"/>
        <v>16/10/2007</v>
      </c>
      <c r="H119" s="114">
        <v>16</v>
      </c>
      <c r="I119" s="114">
        <v>10</v>
      </c>
      <c r="J119" s="113">
        <v>2007</v>
      </c>
      <c r="K119" s="98" t="s">
        <v>30</v>
      </c>
      <c r="L119" s="98">
        <v>2845</v>
      </c>
      <c r="M119" s="98" t="s">
        <v>349</v>
      </c>
      <c r="N119" s="168">
        <v>8440</v>
      </c>
      <c r="O119" s="294"/>
      <c r="P119" s="294"/>
      <c r="Q119" s="97">
        <v>3</v>
      </c>
      <c r="R119" s="112">
        <f t="shared" si="4"/>
        <v>234.41666666666666</v>
      </c>
      <c r="S119" s="111">
        <f t="shared" si="5"/>
        <v>8439</v>
      </c>
      <c r="T119" s="111">
        <f t="shared" si="7"/>
        <v>1</v>
      </c>
      <c r="U119" s="97">
        <v>57</v>
      </c>
      <c r="W119" s="121">
        <f t="shared" si="6"/>
        <v>36</v>
      </c>
    </row>
    <row r="120" spans="1:23">
      <c r="A120" s="98" t="s">
        <v>524</v>
      </c>
      <c r="B120" s="98" t="s">
        <v>512</v>
      </c>
      <c r="C120" s="98" t="s">
        <v>511</v>
      </c>
      <c r="F120" s="98" t="s">
        <v>356</v>
      </c>
      <c r="G120" s="159" t="str">
        <f t="shared" si="8"/>
        <v>16/10/2007</v>
      </c>
      <c r="H120" s="114">
        <v>16</v>
      </c>
      <c r="I120" s="114">
        <v>10</v>
      </c>
      <c r="J120" s="113">
        <v>2007</v>
      </c>
      <c r="K120" s="98" t="s">
        <v>30</v>
      </c>
      <c r="L120" s="98">
        <v>2845</v>
      </c>
      <c r="M120" s="98" t="s">
        <v>349</v>
      </c>
      <c r="N120" s="168">
        <v>8440</v>
      </c>
      <c r="O120" s="294"/>
      <c r="P120" s="294"/>
      <c r="Q120" s="97">
        <v>3</v>
      </c>
      <c r="R120" s="112">
        <f t="shared" si="4"/>
        <v>234.41666666666666</v>
      </c>
      <c r="S120" s="111">
        <f t="shared" si="5"/>
        <v>8439</v>
      </c>
      <c r="T120" s="111">
        <f t="shared" si="7"/>
        <v>1</v>
      </c>
      <c r="U120" s="97">
        <v>57</v>
      </c>
      <c r="W120" s="121">
        <f t="shared" si="6"/>
        <v>36</v>
      </c>
    </row>
    <row r="121" spans="1:23">
      <c r="A121" s="98" t="s">
        <v>523</v>
      </c>
      <c r="B121" s="98" t="s">
        <v>522</v>
      </c>
      <c r="C121" s="98" t="s">
        <v>521</v>
      </c>
      <c r="D121" s="98" t="s">
        <v>520</v>
      </c>
      <c r="F121" s="98" t="s">
        <v>519</v>
      </c>
      <c r="G121" s="159" t="str">
        <f t="shared" si="8"/>
        <v>5/3/2007</v>
      </c>
      <c r="H121" s="114">
        <v>5</v>
      </c>
      <c r="I121" s="114">
        <v>3</v>
      </c>
      <c r="J121" s="113">
        <v>2007</v>
      </c>
      <c r="K121" s="98" t="s">
        <v>30</v>
      </c>
      <c r="L121" s="98">
        <v>38777</v>
      </c>
      <c r="M121" s="98" t="s">
        <v>349</v>
      </c>
      <c r="N121" s="168">
        <v>2552</v>
      </c>
      <c r="O121" s="294"/>
      <c r="P121" s="294"/>
      <c r="Q121" s="97">
        <v>3</v>
      </c>
      <c r="R121" s="112">
        <f t="shared" si="4"/>
        <v>70.861111111111114</v>
      </c>
      <c r="S121" s="111">
        <f t="shared" si="5"/>
        <v>2551</v>
      </c>
      <c r="T121" s="111">
        <f t="shared" si="7"/>
        <v>1</v>
      </c>
      <c r="U121" s="97">
        <v>9495</v>
      </c>
      <c r="W121" s="121">
        <f t="shared" si="6"/>
        <v>36</v>
      </c>
    </row>
    <row r="122" spans="1:23">
      <c r="A122" s="98" t="s">
        <v>518</v>
      </c>
      <c r="B122" s="98" t="s">
        <v>517</v>
      </c>
      <c r="C122" s="98" t="s">
        <v>511</v>
      </c>
      <c r="D122" s="98" t="s">
        <v>516</v>
      </c>
      <c r="E122" s="98" t="s">
        <v>515</v>
      </c>
      <c r="F122" s="98" t="s">
        <v>356</v>
      </c>
      <c r="G122" s="159" t="str">
        <f t="shared" si="8"/>
        <v>3/4/2007</v>
      </c>
      <c r="H122" s="114">
        <v>3</v>
      </c>
      <c r="I122" s="114">
        <v>4</v>
      </c>
      <c r="J122" s="113">
        <v>2007</v>
      </c>
      <c r="K122" s="98" t="s">
        <v>30</v>
      </c>
      <c r="L122" s="98">
        <v>786</v>
      </c>
      <c r="M122" s="98" t="s">
        <v>349</v>
      </c>
      <c r="N122" s="168">
        <v>26955</v>
      </c>
      <c r="O122" s="294"/>
      <c r="P122" s="294" t="s">
        <v>514</v>
      </c>
      <c r="Q122" s="97">
        <v>3</v>
      </c>
      <c r="R122" s="112">
        <f t="shared" si="4"/>
        <v>748.72222222222217</v>
      </c>
      <c r="S122" s="111">
        <f t="shared" si="5"/>
        <v>26954</v>
      </c>
      <c r="T122" s="111">
        <f t="shared" si="7"/>
        <v>1</v>
      </c>
      <c r="U122" s="97">
        <v>9485</v>
      </c>
      <c r="W122" s="121">
        <f t="shared" si="6"/>
        <v>36</v>
      </c>
    </row>
    <row r="123" spans="1:23">
      <c r="A123" s="98" t="s">
        <v>513</v>
      </c>
      <c r="B123" s="98" t="s">
        <v>512</v>
      </c>
      <c r="C123" s="98" t="s">
        <v>511</v>
      </c>
      <c r="D123" s="98" t="s">
        <v>510</v>
      </c>
      <c r="E123" s="98" t="s">
        <v>509</v>
      </c>
      <c r="F123" s="98" t="s">
        <v>356</v>
      </c>
      <c r="G123" s="159" t="str">
        <f t="shared" si="8"/>
        <v>3/4/2007</v>
      </c>
      <c r="H123" s="114">
        <v>3</v>
      </c>
      <c r="I123" s="114">
        <v>4</v>
      </c>
      <c r="J123" s="113">
        <v>2007</v>
      </c>
      <c r="K123" s="98" t="s">
        <v>30</v>
      </c>
      <c r="L123" s="98">
        <v>786</v>
      </c>
      <c r="M123" s="98" t="s">
        <v>349</v>
      </c>
      <c r="N123" s="168">
        <v>8059.5</v>
      </c>
      <c r="O123" s="294"/>
      <c r="P123" s="294" t="s">
        <v>278</v>
      </c>
      <c r="Q123" s="97">
        <v>3</v>
      </c>
      <c r="R123" s="112">
        <f t="shared" si="4"/>
        <v>223.8472222222222</v>
      </c>
      <c r="S123" s="111">
        <f t="shared" si="5"/>
        <v>8058.4999999999991</v>
      </c>
      <c r="T123" s="111">
        <f t="shared" si="7"/>
        <v>1.0000000000009095</v>
      </c>
      <c r="U123" s="97">
        <v>9485</v>
      </c>
      <c r="W123" s="121">
        <f t="shared" si="6"/>
        <v>36</v>
      </c>
    </row>
    <row r="124" spans="1:23">
      <c r="A124" s="98" t="s">
        <v>508</v>
      </c>
      <c r="B124" s="98" t="s">
        <v>507</v>
      </c>
      <c r="F124" s="98" t="s">
        <v>495</v>
      </c>
      <c r="G124" s="159" t="str">
        <f t="shared" si="8"/>
        <v>13/3/2007</v>
      </c>
      <c r="H124" s="114">
        <v>13</v>
      </c>
      <c r="I124" s="114">
        <v>3</v>
      </c>
      <c r="J124" s="113">
        <v>2007</v>
      </c>
      <c r="K124" s="98" t="s">
        <v>500</v>
      </c>
      <c r="L124" s="98">
        <v>1762</v>
      </c>
      <c r="M124" s="98" t="s">
        <v>349</v>
      </c>
      <c r="N124" s="168">
        <v>12664.04</v>
      </c>
      <c r="O124" s="294"/>
      <c r="P124" s="294"/>
      <c r="Q124" s="97">
        <v>3</v>
      </c>
      <c r="R124" s="112">
        <f t="shared" si="4"/>
        <v>351.75111111111113</v>
      </c>
      <c r="S124" s="111">
        <f t="shared" si="5"/>
        <v>12663.04</v>
      </c>
      <c r="T124" s="111">
        <f t="shared" si="7"/>
        <v>1</v>
      </c>
      <c r="U124" s="97">
        <v>9390</v>
      </c>
      <c r="W124" s="121">
        <f t="shared" si="6"/>
        <v>36</v>
      </c>
    </row>
    <row r="125" spans="1:23">
      <c r="A125" s="98" t="s">
        <v>506</v>
      </c>
      <c r="B125" s="98" t="s">
        <v>505</v>
      </c>
      <c r="F125" s="98" t="s">
        <v>495</v>
      </c>
      <c r="G125" s="159" t="str">
        <f t="shared" si="8"/>
        <v>13/3/2007</v>
      </c>
      <c r="H125" s="114">
        <v>13</v>
      </c>
      <c r="I125" s="114">
        <v>3</v>
      </c>
      <c r="J125" s="113">
        <v>2007</v>
      </c>
      <c r="K125" s="98" t="s">
        <v>500</v>
      </c>
      <c r="L125" s="98">
        <v>1762</v>
      </c>
      <c r="M125" s="98" t="s">
        <v>349</v>
      </c>
      <c r="N125" s="112">
        <v>33301.74</v>
      </c>
      <c r="Q125" s="97">
        <v>3</v>
      </c>
      <c r="R125" s="112">
        <f t="shared" si="4"/>
        <v>925.02055555555546</v>
      </c>
      <c r="S125" s="111">
        <f t="shared" si="5"/>
        <v>33300.74</v>
      </c>
      <c r="T125" s="111">
        <f t="shared" si="7"/>
        <v>1</v>
      </c>
      <c r="U125" s="97">
        <v>9390</v>
      </c>
      <c r="W125" s="121">
        <f t="shared" si="6"/>
        <v>36</v>
      </c>
    </row>
    <row r="126" spans="1:23">
      <c r="A126" s="98" t="s">
        <v>504</v>
      </c>
      <c r="B126" s="98" t="s">
        <v>503</v>
      </c>
      <c r="C126" s="98" t="s">
        <v>502</v>
      </c>
      <c r="D126" s="98" t="s">
        <v>501</v>
      </c>
      <c r="F126" s="98" t="s">
        <v>495</v>
      </c>
      <c r="G126" s="159" t="str">
        <f t="shared" si="8"/>
        <v>13/3/2007</v>
      </c>
      <c r="H126" s="114">
        <v>13</v>
      </c>
      <c r="I126" s="114">
        <v>3</v>
      </c>
      <c r="J126" s="113">
        <v>2007</v>
      </c>
      <c r="K126" s="98" t="s">
        <v>500</v>
      </c>
      <c r="L126" s="98">
        <v>1762</v>
      </c>
      <c r="M126" s="98" t="s">
        <v>349</v>
      </c>
      <c r="N126" s="168">
        <v>156423.67999999999</v>
      </c>
      <c r="Q126" s="97">
        <v>3</v>
      </c>
      <c r="R126" s="112">
        <f t="shared" si="4"/>
        <v>4345.0744444444445</v>
      </c>
      <c r="S126" s="111">
        <f t="shared" si="5"/>
        <v>156422.68</v>
      </c>
      <c r="T126" s="111">
        <f t="shared" si="7"/>
        <v>1</v>
      </c>
      <c r="U126" s="97">
        <v>9390</v>
      </c>
      <c r="W126" s="121">
        <f t="shared" si="6"/>
        <v>36</v>
      </c>
    </row>
    <row r="127" spans="1:23">
      <c r="A127" s="98" t="s">
        <v>499</v>
      </c>
      <c r="B127" s="98" t="s">
        <v>498</v>
      </c>
      <c r="F127" s="98" t="s">
        <v>495</v>
      </c>
      <c r="G127" s="159" t="str">
        <f t="shared" si="8"/>
        <v>5/6/2007</v>
      </c>
      <c r="H127" s="114">
        <v>5</v>
      </c>
      <c r="I127" s="114">
        <v>6</v>
      </c>
      <c r="J127" s="113">
        <v>2007</v>
      </c>
      <c r="K127" s="98" t="s">
        <v>30</v>
      </c>
      <c r="L127" s="98">
        <v>3929</v>
      </c>
      <c r="M127" s="98" t="s">
        <v>349</v>
      </c>
      <c r="N127" s="112">
        <v>16739.07</v>
      </c>
      <c r="Q127" s="97">
        <v>3</v>
      </c>
      <c r="R127" s="112">
        <f t="shared" si="4"/>
        <v>464.94638888888886</v>
      </c>
      <c r="S127" s="111">
        <f t="shared" si="5"/>
        <v>16738.07</v>
      </c>
      <c r="T127" s="111">
        <f t="shared" si="7"/>
        <v>1</v>
      </c>
      <c r="U127" s="97">
        <v>9879</v>
      </c>
      <c r="W127" s="121">
        <f t="shared" si="6"/>
        <v>36</v>
      </c>
    </row>
    <row r="128" spans="1:23">
      <c r="A128" s="98" t="s">
        <v>497</v>
      </c>
      <c r="B128" s="98" t="s">
        <v>496</v>
      </c>
      <c r="F128" s="98" t="s">
        <v>495</v>
      </c>
      <c r="G128" s="159" t="str">
        <f t="shared" si="8"/>
        <v>8/8/2007</v>
      </c>
      <c r="H128" s="114">
        <v>8</v>
      </c>
      <c r="I128" s="114">
        <v>8</v>
      </c>
      <c r="J128" s="113">
        <v>2007</v>
      </c>
      <c r="K128" s="98" t="s">
        <v>30</v>
      </c>
      <c r="L128" s="98">
        <v>3929</v>
      </c>
      <c r="M128" s="98" t="s">
        <v>349</v>
      </c>
      <c r="N128" s="112">
        <f>14698.6+1.43</f>
        <v>14700.03</v>
      </c>
      <c r="Q128" s="97">
        <v>3</v>
      </c>
      <c r="R128" s="112">
        <f t="shared" si="4"/>
        <v>408.30638888888893</v>
      </c>
      <c r="S128" s="111">
        <f t="shared" si="5"/>
        <v>14699.030000000002</v>
      </c>
      <c r="T128" s="111">
        <f t="shared" si="7"/>
        <v>0.99999999999818101</v>
      </c>
      <c r="U128" s="97">
        <v>9879</v>
      </c>
      <c r="W128" s="121">
        <f t="shared" si="6"/>
        <v>36</v>
      </c>
    </row>
    <row r="129" spans="2:23" s="97" customFormat="1">
      <c r="B129" s="98" t="s">
        <v>494</v>
      </c>
      <c r="C129" s="98"/>
      <c r="D129" s="98" t="s">
        <v>493</v>
      </c>
      <c r="E129" s="98"/>
      <c r="F129" s="98" t="s">
        <v>492</v>
      </c>
      <c r="G129" s="159" t="str">
        <f t="shared" si="8"/>
        <v>21/12/2007</v>
      </c>
      <c r="H129" s="114">
        <v>21</v>
      </c>
      <c r="I129" s="114">
        <v>12</v>
      </c>
      <c r="J129" s="113">
        <v>2007</v>
      </c>
      <c r="K129" s="98" t="s">
        <v>30</v>
      </c>
      <c r="L129" s="98">
        <v>57285</v>
      </c>
      <c r="M129" s="98" t="s">
        <v>349</v>
      </c>
      <c r="N129" s="112">
        <v>1482</v>
      </c>
      <c r="Q129" s="97">
        <v>3</v>
      </c>
      <c r="R129" s="112">
        <f t="shared" si="4"/>
        <v>41.138888888888893</v>
      </c>
      <c r="S129" s="111">
        <f t="shared" si="5"/>
        <v>1481.0000000000002</v>
      </c>
      <c r="T129" s="111">
        <f t="shared" si="7"/>
        <v>0.99999999999977263</v>
      </c>
      <c r="U129" s="97">
        <v>10560</v>
      </c>
      <c r="W129" s="121">
        <f t="shared" si="6"/>
        <v>36</v>
      </c>
    </row>
    <row r="130" spans="2:23" s="97" customFormat="1">
      <c r="B130" s="98" t="s">
        <v>488</v>
      </c>
      <c r="C130" s="98"/>
      <c r="D130" s="98"/>
      <c r="E130" s="98"/>
      <c r="F130" s="98" t="s">
        <v>366</v>
      </c>
      <c r="G130" s="159" t="str">
        <f t="shared" si="8"/>
        <v>24/3/2008</v>
      </c>
      <c r="H130" s="114">
        <v>24</v>
      </c>
      <c r="I130" s="114">
        <v>3</v>
      </c>
      <c r="J130" s="113">
        <v>2008</v>
      </c>
      <c r="K130" s="98" t="s">
        <v>30</v>
      </c>
      <c r="L130" s="98">
        <v>12906</v>
      </c>
      <c r="M130" s="98" t="s">
        <v>349</v>
      </c>
      <c r="N130" s="112">
        <v>748058.48</v>
      </c>
      <c r="Q130" s="97">
        <v>3</v>
      </c>
      <c r="R130" s="112">
        <f t="shared" si="4"/>
        <v>20779.374444444442</v>
      </c>
      <c r="S130" s="111">
        <f t="shared" si="5"/>
        <v>748057.47999999986</v>
      </c>
      <c r="T130" s="111">
        <f t="shared" si="7"/>
        <v>1.0000000001164153</v>
      </c>
      <c r="U130" s="97">
        <v>135</v>
      </c>
      <c r="W130" s="121">
        <f t="shared" si="6"/>
        <v>36</v>
      </c>
    </row>
    <row r="131" spans="2:23" s="97" customFormat="1">
      <c r="B131" s="98" t="s">
        <v>488</v>
      </c>
      <c r="C131" s="98"/>
      <c r="D131" s="98"/>
      <c r="E131" s="98"/>
      <c r="F131" s="98" t="s">
        <v>356</v>
      </c>
      <c r="G131" s="159" t="str">
        <f t="shared" si="8"/>
        <v>24/6/2008</v>
      </c>
      <c r="H131" s="114">
        <v>24</v>
      </c>
      <c r="I131" s="114">
        <v>6</v>
      </c>
      <c r="J131" s="113">
        <v>2008</v>
      </c>
      <c r="K131" s="98" t="s">
        <v>30</v>
      </c>
      <c r="L131" s="98">
        <v>6161</v>
      </c>
      <c r="M131" s="98" t="s">
        <v>349</v>
      </c>
      <c r="N131" s="112">
        <v>5575</v>
      </c>
      <c r="Q131" s="97">
        <v>3</v>
      </c>
      <c r="R131" s="112">
        <f t="shared" si="4"/>
        <v>154.83333333333334</v>
      </c>
      <c r="S131" s="111">
        <f t="shared" si="5"/>
        <v>5574</v>
      </c>
      <c r="T131" s="111">
        <f t="shared" si="7"/>
        <v>1</v>
      </c>
      <c r="U131" s="97">
        <v>11205</v>
      </c>
      <c r="W131" s="121">
        <f t="shared" si="6"/>
        <v>36</v>
      </c>
    </row>
    <row r="132" spans="2:23" s="97" customFormat="1">
      <c r="B132" s="98" t="s">
        <v>488</v>
      </c>
      <c r="C132" s="98"/>
      <c r="D132" s="98"/>
      <c r="E132" s="98"/>
      <c r="F132" s="98" t="s">
        <v>366</v>
      </c>
      <c r="G132" s="159" t="str">
        <f t="shared" si="8"/>
        <v>11/7/2008</v>
      </c>
      <c r="H132" s="114">
        <v>11</v>
      </c>
      <c r="I132" s="114">
        <v>7</v>
      </c>
      <c r="J132" s="113">
        <v>2008</v>
      </c>
      <c r="K132" s="98" t="s">
        <v>30</v>
      </c>
      <c r="L132" s="98">
        <v>13127</v>
      </c>
      <c r="M132" s="98" t="s">
        <v>349</v>
      </c>
      <c r="N132" s="112">
        <v>291904.71999999997</v>
      </c>
      <c r="Q132" s="97">
        <v>3</v>
      </c>
      <c r="R132" s="112">
        <f t="shared" si="4"/>
        <v>8108.4366666666656</v>
      </c>
      <c r="S132" s="111">
        <f t="shared" si="5"/>
        <v>291903.71999999997</v>
      </c>
      <c r="T132" s="111">
        <f t="shared" si="7"/>
        <v>1</v>
      </c>
      <c r="U132" s="97">
        <v>11255</v>
      </c>
      <c r="W132" s="121">
        <f t="shared" si="6"/>
        <v>36</v>
      </c>
    </row>
    <row r="133" spans="2:23" s="97" customFormat="1">
      <c r="B133" s="98" t="s">
        <v>488</v>
      </c>
      <c r="C133" s="98"/>
      <c r="D133" s="98"/>
      <c r="E133" s="98"/>
      <c r="F133" s="98" t="s">
        <v>458</v>
      </c>
      <c r="G133" s="159" t="str">
        <f t="shared" si="8"/>
        <v>27/6/2008</v>
      </c>
      <c r="H133" s="114">
        <v>27</v>
      </c>
      <c r="I133" s="114">
        <v>6</v>
      </c>
      <c r="J133" s="113">
        <v>2008</v>
      </c>
      <c r="K133" s="98" t="s">
        <v>30</v>
      </c>
      <c r="L133" s="98">
        <v>2522</v>
      </c>
      <c r="M133" s="98" t="s">
        <v>349</v>
      </c>
      <c r="N133" s="112">
        <f>845690.02+136234.16</f>
        <v>981924.18</v>
      </c>
      <c r="Q133" s="97">
        <v>3</v>
      </c>
      <c r="R133" s="112">
        <f t="shared" si="4"/>
        <v>27275.643888888892</v>
      </c>
      <c r="S133" s="111">
        <f t="shared" si="5"/>
        <v>981923.18</v>
      </c>
      <c r="T133" s="111">
        <f t="shared" si="7"/>
        <v>1</v>
      </c>
      <c r="U133" s="97">
        <v>11378</v>
      </c>
      <c r="W133" s="121">
        <f t="shared" si="6"/>
        <v>36</v>
      </c>
    </row>
    <row r="134" spans="2:23" s="97" customFormat="1">
      <c r="B134" s="98" t="s">
        <v>488</v>
      </c>
      <c r="C134" s="98"/>
      <c r="D134" s="98"/>
      <c r="E134" s="98"/>
      <c r="F134" s="98" t="s">
        <v>356</v>
      </c>
      <c r="G134" s="159" t="str">
        <f t="shared" si="8"/>
        <v>14/11/2008</v>
      </c>
      <c r="H134" s="114">
        <v>14</v>
      </c>
      <c r="I134" s="114">
        <v>11</v>
      </c>
      <c r="J134" s="113">
        <v>2008</v>
      </c>
      <c r="K134" s="98" t="s">
        <v>30</v>
      </c>
      <c r="L134" s="98">
        <v>8073</v>
      </c>
      <c r="M134" s="98" t="s">
        <v>349</v>
      </c>
      <c r="N134" s="112">
        <v>5210</v>
      </c>
      <c r="Q134" s="97">
        <v>3</v>
      </c>
      <c r="R134" s="112">
        <f t="shared" si="4"/>
        <v>144.69444444444443</v>
      </c>
      <c r="S134" s="111">
        <f t="shared" si="5"/>
        <v>5208.9999999999991</v>
      </c>
      <c r="T134" s="111">
        <f t="shared" si="7"/>
        <v>1.0000000000009095</v>
      </c>
      <c r="U134" s="97">
        <v>11659</v>
      </c>
      <c r="W134" s="121">
        <f t="shared" si="6"/>
        <v>36</v>
      </c>
    </row>
    <row r="135" spans="2:23" s="97" customFormat="1">
      <c r="B135" s="98" t="s">
        <v>488</v>
      </c>
      <c r="C135" s="98"/>
      <c r="D135" s="98"/>
      <c r="E135" s="98"/>
      <c r="F135" s="98" t="s">
        <v>356</v>
      </c>
      <c r="G135" s="159" t="str">
        <f t="shared" si="8"/>
        <v>25/9/2008</v>
      </c>
      <c r="H135" s="114">
        <v>25</v>
      </c>
      <c r="I135" s="114">
        <v>9</v>
      </c>
      <c r="J135" s="113">
        <v>2008</v>
      </c>
      <c r="K135" s="98" t="s">
        <v>37</v>
      </c>
      <c r="L135" s="98">
        <v>109</v>
      </c>
      <c r="M135" s="98" t="s">
        <v>349</v>
      </c>
      <c r="N135" s="112">
        <v>6315</v>
      </c>
      <c r="Q135" s="97">
        <v>3</v>
      </c>
      <c r="R135" s="112">
        <f t="shared" ref="R135:R198" si="9">(((N135)-1)/3)/12</f>
        <v>175.38888888888889</v>
      </c>
      <c r="S135" s="111">
        <f t="shared" ref="S135:S198" si="10">R135*W135</f>
        <v>6314</v>
      </c>
      <c r="T135" s="111">
        <f t="shared" si="7"/>
        <v>1</v>
      </c>
      <c r="U135" s="97">
        <v>11659</v>
      </c>
      <c r="W135" s="121">
        <f t="shared" ref="W135:W198" si="11">IF((DATEDIF(G135,W$4,"m"))&gt;=36,36,(DATEDIF(G135,W$4,"m")))</f>
        <v>36</v>
      </c>
    </row>
    <row r="136" spans="2:23" s="97" customFormat="1">
      <c r="B136" s="98" t="s">
        <v>488</v>
      </c>
      <c r="C136" s="98"/>
      <c r="D136" s="98"/>
      <c r="E136" s="98"/>
      <c r="F136" s="98" t="s">
        <v>491</v>
      </c>
      <c r="G136" s="159" t="str">
        <f t="shared" si="8"/>
        <v>23/10/2008</v>
      </c>
      <c r="H136" s="114">
        <v>23</v>
      </c>
      <c r="I136" s="114">
        <v>10</v>
      </c>
      <c r="J136" s="113">
        <v>2008</v>
      </c>
      <c r="K136" s="98" t="s">
        <v>30</v>
      </c>
      <c r="L136" s="98" t="s">
        <v>490</v>
      </c>
      <c r="M136" s="98" t="s">
        <v>349</v>
      </c>
      <c r="N136" s="112">
        <v>140063.04000000001</v>
      </c>
      <c r="Q136" s="97">
        <v>3</v>
      </c>
      <c r="R136" s="112">
        <f t="shared" si="9"/>
        <v>3890.6122222222225</v>
      </c>
      <c r="S136" s="111">
        <f t="shared" si="10"/>
        <v>140062.04</v>
      </c>
      <c r="T136" s="111">
        <f t="shared" ref="T136:T199" si="12">N136-S136</f>
        <v>1</v>
      </c>
      <c r="U136" s="97">
        <v>11606</v>
      </c>
      <c r="W136" s="121">
        <f t="shared" si="11"/>
        <v>36</v>
      </c>
    </row>
    <row r="137" spans="2:23" s="97" customFormat="1">
      <c r="B137" s="98" t="s">
        <v>488</v>
      </c>
      <c r="C137" s="98"/>
      <c r="D137" s="98"/>
      <c r="E137" s="98"/>
      <c r="F137" s="98" t="s">
        <v>489</v>
      </c>
      <c r="G137" s="159" t="str">
        <f t="shared" si="8"/>
        <v>19/6/2008</v>
      </c>
      <c r="H137" s="114">
        <v>19</v>
      </c>
      <c r="I137" s="114">
        <v>6</v>
      </c>
      <c r="J137" s="113">
        <v>2008</v>
      </c>
      <c r="K137" s="98" t="s">
        <v>30</v>
      </c>
      <c r="L137" s="98">
        <v>1738</v>
      </c>
      <c r="M137" s="98" t="s">
        <v>349</v>
      </c>
      <c r="N137" s="112">
        <v>513809.68</v>
      </c>
      <c r="Q137" s="97">
        <v>3</v>
      </c>
      <c r="R137" s="112">
        <f t="shared" si="9"/>
        <v>14272.463333333333</v>
      </c>
      <c r="S137" s="111">
        <f t="shared" si="10"/>
        <v>513808.68</v>
      </c>
      <c r="T137" s="111">
        <f t="shared" si="12"/>
        <v>1</v>
      </c>
      <c r="U137" s="97">
        <v>464</v>
      </c>
      <c r="W137" s="121">
        <f t="shared" si="11"/>
        <v>36</v>
      </c>
    </row>
    <row r="138" spans="2:23" s="97" customFormat="1">
      <c r="B138" s="98" t="s">
        <v>488</v>
      </c>
      <c r="C138" s="98"/>
      <c r="D138" s="98"/>
      <c r="E138" s="98"/>
      <c r="F138" s="98" t="s">
        <v>458</v>
      </c>
      <c r="G138" s="159" t="str">
        <f t="shared" si="8"/>
        <v>19/6/2008</v>
      </c>
      <c r="H138" s="114">
        <v>19</v>
      </c>
      <c r="I138" s="114">
        <v>6</v>
      </c>
      <c r="J138" s="113">
        <v>2008</v>
      </c>
      <c r="K138" s="98" t="s">
        <v>30</v>
      </c>
      <c r="L138" s="98">
        <v>2507</v>
      </c>
      <c r="M138" s="98" t="s">
        <v>349</v>
      </c>
      <c r="N138" s="112">
        <v>1810464.33</v>
      </c>
      <c r="Q138" s="97">
        <v>3</v>
      </c>
      <c r="R138" s="112">
        <f t="shared" si="9"/>
        <v>50290.648055555561</v>
      </c>
      <c r="S138" s="111">
        <f t="shared" si="10"/>
        <v>1810463.33</v>
      </c>
      <c r="T138" s="111">
        <f t="shared" si="12"/>
        <v>1</v>
      </c>
      <c r="U138" s="97">
        <v>465</v>
      </c>
      <c r="W138" s="121">
        <f t="shared" si="11"/>
        <v>36</v>
      </c>
    </row>
    <row r="139" spans="2:23" s="97" customFormat="1">
      <c r="B139" s="98" t="s">
        <v>488</v>
      </c>
      <c r="C139" s="98"/>
      <c r="D139" s="98"/>
      <c r="E139" s="98"/>
      <c r="F139" s="98" t="s">
        <v>458</v>
      </c>
      <c r="G139" s="159" t="str">
        <f t="shared" si="8"/>
        <v>19/12/2008</v>
      </c>
      <c r="H139" s="114">
        <v>19</v>
      </c>
      <c r="I139" s="114">
        <v>12</v>
      </c>
      <c r="J139" s="113">
        <v>2008</v>
      </c>
      <c r="K139" s="98" t="s">
        <v>37</v>
      </c>
      <c r="L139" s="98">
        <v>187</v>
      </c>
      <c r="M139" s="98" t="s">
        <v>349</v>
      </c>
      <c r="N139" s="112">
        <v>189153.61</v>
      </c>
      <c r="Q139" s="97">
        <v>3</v>
      </c>
      <c r="R139" s="112">
        <f t="shared" si="9"/>
        <v>5254.2391666666663</v>
      </c>
      <c r="S139" s="111">
        <f t="shared" si="10"/>
        <v>189152.61</v>
      </c>
      <c r="T139" s="111">
        <f t="shared" si="12"/>
        <v>1</v>
      </c>
      <c r="U139" s="97">
        <v>11965</v>
      </c>
      <c r="W139" s="121">
        <f t="shared" si="11"/>
        <v>36</v>
      </c>
    </row>
    <row r="140" spans="2:23" s="97" customFormat="1">
      <c r="B140" s="98" t="s">
        <v>488</v>
      </c>
      <c r="C140" s="98"/>
      <c r="D140" s="98"/>
      <c r="E140" s="98"/>
      <c r="F140" s="98" t="s">
        <v>487</v>
      </c>
      <c r="G140" s="159" t="str">
        <f t="shared" si="8"/>
        <v>13/2/2008</v>
      </c>
      <c r="H140" s="114">
        <v>13</v>
      </c>
      <c r="I140" s="114">
        <v>2</v>
      </c>
      <c r="J140" s="113">
        <v>2008</v>
      </c>
      <c r="K140" s="98" t="s">
        <v>30</v>
      </c>
      <c r="L140" s="98">
        <v>4448</v>
      </c>
      <c r="M140" s="98" t="s">
        <v>349</v>
      </c>
      <c r="N140" s="112">
        <v>74825.8</v>
      </c>
      <c r="Q140" s="97">
        <v>3</v>
      </c>
      <c r="R140" s="112">
        <f t="shared" si="9"/>
        <v>2078.4666666666667</v>
      </c>
      <c r="S140" s="111">
        <f t="shared" si="10"/>
        <v>74824.800000000003</v>
      </c>
      <c r="T140" s="111">
        <f t="shared" si="12"/>
        <v>1</v>
      </c>
      <c r="W140" s="121">
        <f t="shared" si="11"/>
        <v>36</v>
      </c>
    </row>
    <row r="141" spans="2:23" s="97" customFormat="1">
      <c r="B141" s="98" t="s">
        <v>488</v>
      </c>
      <c r="C141" s="98"/>
      <c r="D141" s="98"/>
      <c r="E141" s="98"/>
      <c r="F141" s="98" t="s">
        <v>487</v>
      </c>
      <c r="G141" s="159" t="str">
        <f t="shared" si="8"/>
        <v>13/2/2008</v>
      </c>
      <c r="H141" s="114">
        <v>13</v>
      </c>
      <c r="I141" s="114">
        <v>2</v>
      </c>
      <c r="J141" s="113">
        <v>2008</v>
      </c>
      <c r="K141" s="98" t="s">
        <v>486</v>
      </c>
      <c r="L141" s="98" t="s">
        <v>485</v>
      </c>
      <c r="M141" s="98" t="s">
        <v>349</v>
      </c>
      <c r="N141" s="112">
        <v>5255.5</v>
      </c>
      <c r="Q141" s="97">
        <v>3</v>
      </c>
      <c r="R141" s="112">
        <f t="shared" si="9"/>
        <v>145.95833333333334</v>
      </c>
      <c r="S141" s="111">
        <f t="shared" si="10"/>
        <v>5254.5</v>
      </c>
      <c r="T141" s="111">
        <f t="shared" si="12"/>
        <v>1</v>
      </c>
      <c r="W141" s="121">
        <f t="shared" si="11"/>
        <v>36</v>
      </c>
    </row>
    <row r="142" spans="2:23" s="97" customFormat="1">
      <c r="B142" s="98" t="s">
        <v>483</v>
      </c>
      <c r="C142" s="98" t="s">
        <v>484</v>
      </c>
      <c r="D142" s="98"/>
      <c r="E142" s="98">
        <v>75118265</v>
      </c>
      <c r="F142" s="98" t="s">
        <v>482</v>
      </c>
      <c r="G142" s="159" t="str">
        <f t="shared" ref="G142:G173" si="13">CONCATENATE(H142,"/",I142,"/",J142,)</f>
        <v>14/4/2009</v>
      </c>
      <c r="H142" s="323">
        <v>14</v>
      </c>
      <c r="I142" s="323">
        <v>4</v>
      </c>
      <c r="J142" s="324">
        <v>2009</v>
      </c>
      <c r="K142" s="325" t="s">
        <v>54</v>
      </c>
      <c r="L142" s="325">
        <v>23137</v>
      </c>
      <c r="M142" s="325" t="s">
        <v>474</v>
      </c>
      <c r="N142" s="316">
        <v>26000</v>
      </c>
      <c r="Q142" s="97">
        <v>3</v>
      </c>
      <c r="R142" s="112">
        <f t="shared" si="9"/>
        <v>722.19444444444446</v>
      </c>
      <c r="S142" s="111">
        <f t="shared" si="10"/>
        <v>25999</v>
      </c>
      <c r="T142" s="111">
        <f t="shared" si="12"/>
        <v>1</v>
      </c>
      <c r="W142" s="121">
        <f t="shared" si="11"/>
        <v>36</v>
      </c>
    </row>
    <row r="143" spans="2:23" s="97" customFormat="1">
      <c r="B143" s="98" t="s">
        <v>483</v>
      </c>
      <c r="C143" s="98"/>
      <c r="D143" s="98"/>
      <c r="E143" s="98"/>
      <c r="F143" s="98" t="s">
        <v>482</v>
      </c>
      <c r="G143" s="159" t="str">
        <f t="shared" si="13"/>
        <v>14/4/2009</v>
      </c>
      <c r="H143" s="323">
        <v>14</v>
      </c>
      <c r="I143" s="323">
        <v>4</v>
      </c>
      <c r="J143" s="324">
        <v>2009</v>
      </c>
      <c r="K143" s="325" t="s">
        <v>54</v>
      </c>
      <c r="L143" s="325">
        <v>23137</v>
      </c>
      <c r="M143" s="325" t="s">
        <v>474</v>
      </c>
      <c r="N143" s="316">
        <v>26000</v>
      </c>
      <c r="Q143" s="97">
        <v>3</v>
      </c>
      <c r="R143" s="112">
        <f t="shared" si="9"/>
        <v>722.19444444444446</v>
      </c>
      <c r="S143" s="111">
        <f t="shared" si="10"/>
        <v>25999</v>
      </c>
      <c r="T143" s="111">
        <f t="shared" si="12"/>
        <v>1</v>
      </c>
      <c r="W143" s="121">
        <f t="shared" si="11"/>
        <v>36</v>
      </c>
    </row>
    <row r="144" spans="2:23" s="97" customFormat="1">
      <c r="B144" s="98" t="s">
        <v>483</v>
      </c>
      <c r="C144" s="98"/>
      <c r="D144" s="98"/>
      <c r="E144" s="98"/>
      <c r="F144" s="98" t="s">
        <v>482</v>
      </c>
      <c r="G144" s="159" t="str">
        <f t="shared" si="13"/>
        <v>14/4/2009</v>
      </c>
      <c r="H144" s="323">
        <v>14</v>
      </c>
      <c r="I144" s="323">
        <v>4</v>
      </c>
      <c r="J144" s="324">
        <v>2009</v>
      </c>
      <c r="K144" s="325" t="s">
        <v>54</v>
      </c>
      <c r="L144" s="325">
        <v>23137</v>
      </c>
      <c r="M144" s="325" t="s">
        <v>474</v>
      </c>
      <c r="N144" s="316">
        <v>26000</v>
      </c>
      <c r="Q144" s="97">
        <v>3</v>
      </c>
      <c r="R144" s="112">
        <f t="shared" si="9"/>
        <v>722.19444444444446</v>
      </c>
      <c r="S144" s="111">
        <f t="shared" si="10"/>
        <v>25999</v>
      </c>
      <c r="T144" s="111">
        <f t="shared" si="12"/>
        <v>1</v>
      </c>
      <c r="W144" s="121">
        <f t="shared" si="11"/>
        <v>36</v>
      </c>
    </row>
    <row r="145" spans="2:23" s="97" customFormat="1">
      <c r="B145" s="98" t="s">
        <v>483</v>
      </c>
      <c r="C145" s="98"/>
      <c r="D145" s="98"/>
      <c r="E145" s="98"/>
      <c r="F145" s="98" t="s">
        <v>482</v>
      </c>
      <c r="G145" s="159" t="str">
        <f t="shared" si="13"/>
        <v>14/4/2009</v>
      </c>
      <c r="H145" s="323">
        <v>14</v>
      </c>
      <c r="I145" s="323">
        <v>4</v>
      </c>
      <c r="J145" s="324">
        <v>2009</v>
      </c>
      <c r="K145" s="325" t="s">
        <v>54</v>
      </c>
      <c r="L145" s="325">
        <v>23137</v>
      </c>
      <c r="M145" s="325" t="s">
        <v>474</v>
      </c>
      <c r="N145" s="316">
        <v>26000</v>
      </c>
      <c r="Q145" s="97">
        <v>3</v>
      </c>
      <c r="R145" s="112">
        <f t="shared" si="9"/>
        <v>722.19444444444446</v>
      </c>
      <c r="S145" s="111">
        <f t="shared" si="10"/>
        <v>25999</v>
      </c>
      <c r="T145" s="111">
        <f t="shared" si="12"/>
        <v>1</v>
      </c>
      <c r="W145" s="121">
        <f t="shared" si="11"/>
        <v>36</v>
      </c>
    </row>
    <row r="146" spans="2:23" s="97" customFormat="1">
      <c r="B146" s="98" t="s">
        <v>483</v>
      </c>
      <c r="C146" s="98"/>
      <c r="D146" s="98"/>
      <c r="E146" s="98"/>
      <c r="F146" s="98" t="s">
        <v>482</v>
      </c>
      <c r="G146" s="159" t="str">
        <f t="shared" si="13"/>
        <v>14/4/2009</v>
      </c>
      <c r="H146" s="323">
        <v>14</v>
      </c>
      <c r="I146" s="323">
        <v>4</v>
      </c>
      <c r="J146" s="324">
        <v>2009</v>
      </c>
      <c r="K146" s="325" t="s">
        <v>54</v>
      </c>
      <c r="L146" s="325">
        <v>23137</v>
      </c>
      <c r="M146" s="325" t="s">
        <v>474</v>
      </c>
      <c r="N146" s="316">
        <v>26000</v>
      </c>
      <c r="Q146" s="97">
        <v>3</v>
      </c>
      <c r="R146" s="112">
        <f t="shared" si="9"/>
        <v>722.19444444444446</v>
      </c>
      <c r="S146" s="111">
        <f t="shared" si="10"/>
        <v>25999</v>
      </c>
      <c r="T146" s="111">
        <f t="shared" si="12"/>
        <v>1</v>
      </c>
      <c r="W146" s="121">
        <f t="shared" si="11"/>
        <v>36</v>
      </c>
    </row>
    <row r="147" spans="2:23" s="97" customFormat="1">
      <c r="B147" s="98" t="s">
        <v>483</v>
      </c>
      <c r="C147" s="98"/>
      <c r="D147" s="98"/>
      <c r="E147" s="98"/>
      <c r="F147" s="98" t="s">
        <v>482</v>
      </c>
      <c r="G147" s="159" t="str">
        <f t="shared" si="13"/>
        <v>14/4/2009</v>
      </c>
      <c r="H147" s="323">
        <v>14</v>
      </c>
      <c r="I147" s="323">
        <v>4</v>
      </c>
      <c r="J147" s="324">
        <v>2009</v>
      </c>
      <c r="K147" s="325" t="s">
        <v>54</v>
      </c>
      <c r="L147" s="325">
        <v>23137</v>
      </c>
      <c r="M147" s="325" t="s">
        <v>474</v>
      </c>
      <c r="N147" s="316">
        <v>26000</v>
      </c>
      <c r="Q147" s="97">
        <v>3</v>
      </c>
      <c r="R147" s="112">
        <f t="shared" si="9"/>
        <v>722.19444444444446</v>
      </c>
      <c r="S147" s="111">
        <f t="shared" si="10"/>
        <v>25999</v>
      </c>
      <c r="T147" s="111">
        <f t="shared" si="12"/>
        <v>1</v>
      </c>
      <c r="W147" s="121">
        <f t="shared" si="11"/>
        <v>36</v>
      </c>
    </row>
    <row r="148" spans="2:23" s="97" customFormat="1">
      <c r="B148" s="98" t="s">
        <v>481</v>
      </c>
      <c r="C148" s="98" t="s">
        <v>480</v>
      </c>
      <c r="D148" s="98"/>
      <c r="E148" s="98" t="s">
        <v>479</v>
      </c>
      <c r="F148" s="98" t="s">
        <v>478</v>
      </c>
      <c r="G148" s="159" t="str">
        <f t="shared" si="13"/>
        <v>9/9/2009</v>
      </c>
      <c r="H148" s="323">
        <v>9</v>
      </c>
      <c r="I148" s="323">
        <v>9</v>
      </c>
      <c r="J148" s="324">
        <v>2009</v>
      </c>
      <c r="K148" s="325" t="s">
        <v>54</v>
      </c>
      <c r="L148" s="325">
        <v>13426</v>
      </c>
      <c r="M148" s="325" t="s">
        <v>474</v>
      </c>
      <c r="N148" s="316">
        <v>484513.7</v>
      </c>
      <c r="Q148" s="97">
        <v>3</v>
      </c>
      <c r="R148" s="112">
        <f t="shared" si="9"/>
        <v>13458.686111111112</v>
      </c>
      <c r="S148" s="111">
        <f t="shared" si="10"/>
        <v>484512.7</v>
      </c>
      <c r="T148" s="111">
        <f t="shared" si="12"/>
        <v>1</v>
      </c>
      <c r="W148" s="121">
        <f t="shared" si="11"/>
        <v>36</v>
      </c>
    </row>
    <row r="149" spans="2:23" s="97" customFormat="1">
      <c r="B149" s="98" t="s">
        <v>477</v>
      </c>
      <c r="C149" s="98" t="s">
        <v>476</v>
      </c>
      <c r="D149" s="98"/>
      <c r="E149" s="98" t="s">
        <v>475</v>
      </c>
      <c r="F149" s="98" t="s">
        <v>428</v>
      </c>
      <c r="G149" s="159" t="str">
        <f t="shared" si="13"/>
        <v>10/8/2009</v>
      </c>
      <c r="H149" s="323">
        <v>10</v>
      </c>
      <c r="I149" s="323">
        <v>8</v>
      </c>
      <c r="J149" s="324">
        <v>2009</v>
      </c>
      <c r="K149" s="325" t="s">
        <v>54</v>
      </c>
      <c r="L149" s="325">
        <v>12346</v>
      </c>
      <c r="M149" s="325" t="s">
        <v>474</v>
      </c>
      <c r="N149" s="316">
        <v>28825</v>
      </c>
      <c r="Q149" s="97">
        <v>3</v>
      </c>
      <c r="R149" s="112">
        <f t="shared" si="9"/>
        <v>800.66666666666663</v>
      </c>
      <c r="S149" s="111">
        <f t="shared" si="10"/>
        <v>28824</v>
      </c>
      <c r="T149" s="111">
        <f t="shared" si="12"/>
        <v>1</v>
      </c>
      <c r="W149" s="121">
        <f t="shared" si="11"/>
        <v>36</v>
      </c>
    </row>
    <row r="150" spans="2:23" s="97" customFormat="1">
      <c r="B150" s="167" t="s">
        <v>473</v>
      </c>
      <c r="C150" s="166"/>
      <c r="E150" s="165"/>
      <c r="F150" s="98" t="s">
        <v>396</v>
      </c>
      <c r="G150" s="159" t="str">
        <f t="shared" si="13"/>
        <v>22/11/2009</v>
      </c>
      <c r="H150" s="97">
        <v>22</v>
      </c>
      <c r="I150" s="97">
        <v>11</v>
      </c>
      <c r="J150" s="97">
        <v>2009</v>
      </c>
      <c r="K150" s="179" t="s">
        <v>54</v>
      </c>
      <c r="L150" s="98" t="s">
        <v>472</v>
      </c>
      <c r="M150" s="326" t="s">
        <v>349</v>
      </c>
      <c r="N150" s="326">
        <v>4457.88</v>
      </c>
      <c r="Q150" s="97">
        <v>3</v>
      </c>
      <c r="R150" s="112">
        <f t="shared" si="9"/>
        <v>123.80222222222223</v>
      </c>
      <c r="S150" s="111">
        <f t="shared" si="10"/>
        <v>4456.88</v>
      </c>
      <c r="T150" s="111">
        <f t="shared" si="12"/>
        <v>1</v>
      </c>
      <c r="W150" s="121">
        <f t="shared" si="11"/>
        <v>36</v>
      </c>
    </row>
    <row r="151" spans="2:23" s="97" customFormat="1">
      <c r="B151" s="97" t="s">
        <v>467</v>
      </c>
      <c r="C151" s="97" t="s">
        <v>433</v>
      </c>
      <c r="E151" s="98" t="s">
        <v>471</v>
      </c>
      <c r="F151" s="98" t="s">
        <v>428</v>
      </c>
      <c r="G151" s="159" t="str">
        <f t="shared" si="13"/>
        <v>21/11/2009</v>
      </c>
      <c r="H151" s="97">
        <v>21</v>
      </c>
      <c r="I151" s="97">
        <v>11</v>
      </c>
      <c r="J151" s="97">
        <v>2009</v>
      </c>
      <c r="K151" s="179" t="s">
        <v>54</v>
      </c>
      <c r="L151" s="98">
        <v>13038</v>
      </c>
      <c r="M151" s="326" t="s">
        <v>349</v>
      </c>
      <c r="N151" s="326">
        <v>7020</v>
      </c>
      <c r="Q151" s="97">
        <v>3</v>
      </c>
      <c r="R151" s="112">
        <f t="shared" si="9"/>
        <v>194.9722222222222</v>
      </c>
      <c r="S151" s="111">
        <f t="shared" si="10"/>
        <v>7018.9999999999991</v>
      </c>
      <c r="T151" s="111">
        <f t="shared" si="12"/>
        <v>1.0000000000009095</v>
      </c>
      <c r="W151" s="121">
        <f t="shared" si="11"/>
        <v>36</v>
      </c>
    </row>
    <row r="152" spans="2:23" s="97" customFormat="1">
      <c r="B152" s="97" t="s">
        <v>467</v>
      </c>
      <c r="C152" s="97" t="s">
        <v>433</v>
      </c>
      <c r="E152" s="98" t="s">
        <v>470</v>
      </c>
      <c r="F152" s="98" t="s">
        <v>428</v>
      </c>
      <c r="G152" s="159" t="str">
        <f t="shared" si="13"/>
        <v>21/11/2009</v>
      </c>
      <c r="H152" s="97">
        <v>21</v>
      </c>
      <c r="I152" s="97">
        <v>11</v>
      </c>
      <c r="J152" s="97">
        <v>2009</v>
      </c>
      <c r="K152" s="179" t="s">
        <v>54</v>
      </c>
      <c r="L152" s="98">
        <v>13038</v>
      </c>
      <c r="M152" s="326" t="s">
        <v>349</v>
      </c>
      <c r="N152" s="326">
        <v>7020</v>
      </c>
      <c r="Q152" s="97">
        <v>3</v>
      </c>
      <c r="R152" s="112">
        <f t="shared" si="9"/>
        <v>194.9722222222222</v>
      </c>
      <c r="S152" s="111">
        <f t="shared" si="10"/>
        <v>7018.9999999999991</v>
      </c>
      <c r="T152" s="111">
        <f t="shared" si="12"/>
        <v>1.0000000000009095</v>
      </c>
      <c r="W152" s="121">
        <f t="shared" si="11"/>
        <v>36</v>
      </c>
    </row>
    <row r="153" spans="2:23" s="97" customFormat="1">
      <c r="B153" s="97" t="s">
        <v>467</v>
      </c>
      <c r="C153" s="97" t="s">
        <v>433</v>
      </c>
      <c r="E153" s="98" t="s">
        <v>469</v>
      </c>
      <c r="F153" s="98" t="s">
        <v>428</v>
      </c>
      <c r="G153" s="159" t="str">
        <f t="shared" si="13"/>
        <v>21/11/2009</v>
      </c>
      <c r="H153" s="97">
        <v>21</v>
      </c>
      <c r="I153" s="97">
        <v>11</v>
      </c>
      <c r="J153" s="97">
        <v>2009</v>
      </c>
      <c r="K153" s="179" t="s">
        <v>54</v>
      </c>
      <c r="L153" s="98">
        <v>13038</v>
      </c>
      <c r="M153" s="326" t="s">
        <v>349</v>
      </c>
      <c r="N153" s="326">
        <v>7020</v>
      </c>
      <c r="Q153" s="97">
        <v>3</v>
      </c>
      <c r="R153" s="112">
        <f t="shared" si="9"/>
        <v>194.9722222222222</v>
      </c>
      <c r="S153" s="111">
        <f t="shared" si="10"/>
        <v>7018.9999999999991</v>
      </c>
      <c r="T153" s="111">
        <f t="shared" si="12"/>
        <v>1.0000000000009095</v>
      </c>
      <c r="W153" s="121">
        <f t="shared" si="11"/>
        <v>36</v>
      </c>
    </row>
    <row r="154" spans="2:23" s="97" customFormat="1">
      <c r="B154" s="97" t="s">
        <v>467</v>
      </c>
      <c r="C154" s="97" t="s">
        <v>433</v>
      </c>
      <c r="E154" s="98" t="s">
        <v>468</v>
      </c>
      <c r="F154" s="98" t="s">
        <v>428</v>
      </c>
      <c r="G154" s="159" t="str">
        <f t="shared" si="13"/>
        <v>21/11/2009</v>
      </c>
      <c r="H154" s="97">
        <v>21</v>
      </c>
      <c r="I154" s="97">
        <v>11</v>
      </c>
      <c r="J154" s="97">
        <v>2009</v>
      </c>
      <c r="K154" s="179" t="s">
        <v>54</v>
      </c>
      <c r="L154" s="98">
        <v>13038</v>
      </c>
      <c r="M154" s="326" t="s">
        <v>349</v>
      </c>
      <c r="N154" s="326">
        <v>7020</v>
      </c>
      <c r="Q154" s="97">
        <v>3</v>
      </c>
      <c r="R154" s="112">
        <f t="shared" si="9"/>
        <v>194.9722222222222</v>
      </c>
      <c r="S154" s="111">
        <f t="shared" si="10"/>
        <v>7018.9999999999991</v>
      </c>
      <c r="T154" s="111">
        <f t="shared" si="12"/>
        <v>1.0000000000009095</v>
      </c>
      <c r="W154" s="121">
        <f t="shared" si="11"/>
        <v>36</v>
      </c>
    </row>
    <row r="155" spans="2:23" s="97" customFormat="1">
      <c r="B155" s="97" t="s">
        <v>467</v>
      </c>
      <c r="C155" s="97" t="s">
        <v>433</v>
      </c>
      <c r="E155" s="98" t="s">
        <v>466</v>
      </c>
      <c r="F155" s="98" t="s">
        <v>428</v>
      </c>
      <c r="G155" s="159" t="str">
        <f t="shared" si="13"/>
        <v>21/11/2009</v>
      </c>
      <c r="H155" s="97">
        <v>21</v>
      </c>
      <c r="I155" s="97">
        <v>11</v>
      </c>
      <c r="J155" s="97">
        <v>2009</v>
      </c>
      <c r="K155" s="179" t="s">
        <v>54</v>
      </c>
      <c r="L155" s="98">
        <v>13038</v>
      </c>
      <c r="M155" s="326" t="s">
        <v>349</v>
      </c>
      <c r="N155" s="326">
        <v>7020</v>
      </c>
      <c r="Q155" s="97">
        <v>3</v>
      </c>
      <c r="R155" s="112">
        <f t="shared" si="9"/>
        <v>194.9722222222222</v>
      </c>
      <c r="S155" s="111">
        <f t="shared" si="10"/>
        <v>7018.9999999999991</v>
      </c>
      <c r="T155" s="111">
        <f t="shared" si="12"/>
        <v>1.0000000000009095</v>
      </c>
      <c r="W155" s="121">
        <f t="shared" si="11"/>
        <v>36</v>
      </c>
    </row>
    <row r="156" spans="2:23" s="97" customFormat="1" ht="47.25">
      <c r="B156" s="125" t="s">
        <v>461</v>
      </c>
      <c r="C156" s="164" t="s">
        <v>433</v>
      </c>
      <c r="E156" s="97" t="s">
        <v>465</v>
      </c>
      <c r="F156" s="98" t="s">
        <v>428</v>
      </c>
      <c r="G156" s="159" t="str">
        <f t="shared" si="13"/>
        <v>21/11/2009</v>
      </c>
      <c r="H156" s="97">
        <v>21</v>
      </c>
      <c r="I156" s="97">
        <v>11</v>
      </c>
      <c r="J156" s="97">
        <v>2009</v>
      </c>
      <c r="K156" s="179" t="s">
        <v>54</v>
      </c>
      <c r="L156" s="98">
        <v>13038</v>
      </c>
      <c r="M156" s="326" t="s">
        <v>349</v>
      </c>
      <c r="N156" s="326">
        <v>29375</v>
      </c>
      <c r="Q156" s="97">
        <v>3</v>
      </c>
      <c r="R156" s="112">
        <f t="shared" si="9"/>
        <v>815.94444444444446</v>
      </c>
      <c r="S156" s="111">
        <f t="shared" si="10"/>
        <v>29374</v>
      </c>
      <c r="T156" s="111">
        <f t="shared" si="12"/>
        <v>1</v>
      </c>
      <c r="W156" s="121">
        <f t="shared" si="11"/>
        <v>36</v>
      </c>
    </row>
    <row r="157" spans="2:23" s="97" customFormat="1" ht="47.25">
      <c r="B157" s="125" t="s">
        <v>461</v>
      </c>
      <c r="C157" s="97" t="s">
        <v>433</v>
      </c>
      <c r="E157" s="97" t="s">
        <v>464</v>
      </c>
      <c r="F157" s="98" t="s">
        <v>428</v>
      </c>
      <c r="G157" s="159" t="str">
        <f t="shared" si="13"/>
        <v>21/11/2009</v>
      </c>
      <c r="H157" s="97">
        <v>21</v>
      </c>
      <c r="I157" s="97">
        <v>11</v>
      </c>
      <c r="J157" s="97">
        <v>2009</v>
      </c>
      <c r="K157" s="179" t="s">
        <v>54</v>
      </c>
      <c r="L157" s="98">
        <v>13038</v>
      </c>
      <c r="M157" s="326" t="s">
        <v>349</v>
      </c>
      <c r="N157" s="326">
        <v>29375</v>
      </c>
      <c r="Q157" s="97">
        <v>3</v>
      </c>
      <c r="R157" s="112">
        <f t="shared" si="9"/>
        <v>815.94444444444446</v>
      </c>
      <c r="S157" s="111">
        <f t="shared" si="10"/>
        <v>29374</v>
      </c>
      <c r="T157" s="111">
        <f t="shared" si="12"/>
        <v>1</v>
      </c>
      <c r="W157" s="121">
        <f t="shared" si="11"/>
        <v>36</v>
      </c>
    </row>
    <row r="158" spans="2:23" s="97" customFormat="1" ht="47.25">
      <c r="B158" s="125" t="s">
        <v>461</v>
      </c>
      <c r="C158" s="97" t="s">
        <v>433</v>
      </c>
      <c r="E158" s="97" t="s">
        <v>463</v>
      </c>
      <c r="F158" s="98" t="s">
        <v>428</v>
      </c>
      <c r="G158" s="159" t="str">
        <f t="shared" si="13"/>
        <v>21/11/2009</v>
      </c>
      <c r="H158" s="97">
        <v>21</v>
      </c>
      <c r="I158" s="97">
        <v>11</v>
      </c>
      <c r="J158" s="97">
        <v>2009</v>
      </c>
      <c r="K158" s="179" t="s">
        <v>54</v>
      </c>
      <c r="L158" s="98">
        <v>13038</v>
      </c>
      <c r="M158" s="326" t="s">
        <v>349</v>
      </c>
      <c r="N158" s="326">
        <v>29375</v>
      </c>
      <c r="Q158" s="97">
        <v>3</v>
      </c>
      <c r="R158" s="112">
        <f t="shared" si="9"/>
        <v>815.94444444444446</v>
      </c>
      <c r="S158" s="111">
        <f t="shared" si="10"/>
        <v>29374</v>
      </c>
      <c r="T158" s="111">
        <f t="shared" si="12"/>
        <v>1</v>
      </c>
      <c r="W158" s="121">
        <f t="shared" si="11"/>
        <v>36</v>
      </c>
    </row>
    <row r="159" spans="2:23" s="97" customFormat="1" ht="47.25">
      <c r="B159" s="125" t="s">
        <v>461</v>
      </c>
      <c r="C159" s="97" t="s">
        <v>433</v>
      </c>
      <c r="E159" s="97" t="s">
        <v>462</v>
      </c>
      <c r="F159" s="98" t="s">
        <v>428</v>
      </c>
      <c r="G159" s="159" t="str">
        <f t="shared" si="13"/>
        <v>21/11/2009</v>
      </c>
      <c r="H159" s="97">
        <v>21</v>
      </c>
      <c r="I159" s="97">
        <v>11</v>
      </c>
      <c r="J159" s="97">
        <v>2009</v>
      </c>
      <c r="K159" s="179" t="s">
        <v>54</v>
      </c>
      <c r="L159" s="98">
        <v>13038</v>
      </c>
      <c r="M159" s="326" t="s">
        <v>349</v>
      </c>
      <c r="N159" s="326">
        <v>29375</v>
      </c>
      <c r="Q159" s="97">
        <v>3</v>
      </c>
      <c r="R159" s="112">
        <f t="shared" si="9"/>
        <v>815.94444444444446</v>
      </c>
      <c r="S159" s="111">
        <f t="shared" si="10"/>
        <v>29374</v>
      </c>
      <c r="T159" s="111">
        <f t="shared" si="12"/>
        <v>1</v>
      </c>
      <c r="W159" s="121">
        <f t="shared" si="11"/>
        <v>36</v>
      </c>
    </row>
    <row r="160" spans="2:23" s="97" customFormat="1" ht="47.25">
      <c r="B160" s="125" t="s">
        <v>461</v>
      </c>
      <c r="C160" s="97" t="s">
        <v>433</v>
      </c>
      <c r="E160" s="97" t="s">
        <v>460</v>
      </c>
      <c r="F160" s="98" t="s">
        <v>428</v>
      </c>
      <c r="G160" s="159" t="str">
        <f t="shared" si="13"/>
        <v>21/11/2009</v>
      </c>
      <c r="H160" s="97">
        <v>21</v>
      </c>
      <c r="I160" s="97">
        <v>11</v>
      </c>
      <c r="J160" s="97">
        <v>2009</v>
      </c>
      <c r="K160" s="179" t="s">
        <v>54</v>
      </c>
      <c r="L160" s="98">
        <v>13038</v>
      </c>
      <c r="M160" s="326" t="s">
        <v>349</v>
      </c>
      <c r="N160" s="326">
        <v>29375</v>
      </c>
      <c r="Q160" s="97">
        <v>3</v>
      </c>
      <c r="R160" s="112">
        <f t="shared" si="9"/>
        <v>815.94444444444446</v>
      </c>
      <c r="S160" s="111">
        <f t="shared" si="10"/>
        <v>29374</v>
      </c>
      <c r="T160" s="111">
        <f t="shared" si="12"/>
        <v>1</v>
      </c>
      <c r="W160" s="121">
        <f t="shared" si="11"/>
        <v>36</v>
      </c>
    </row>
    <row r="161" spans="1:23" ht="78.75">
      <c r="B161" s="163" t="s">
        <v>459</v>
      </c>
      <c r="C161" s="97"/>
      <c r="D161" s="97"/>
      <c r="E161" s="97"/>
      <c r="F161" s="98" t="s">
        <v>458</v>
      </c>
      <c r="G161" s="159" t="str">
        <f t="shared" si="13"/>
        <v>1/12/2009</v>
      </c>
      <c r="H161" s="97">
        <v>1</v>
      </c>
      <c r="I161" s="97">
        <v>12</v>
      </c>
      <c r="J161" s="97">
        <v>2009</v>
      </c>
      <c r="K161" s="179" t="s">
        <v>54</v>
      </c>
      <c r="L161" s="98">
        <v>11350</v>
      </c>
      <c r="M161" s="326" t="s">
        <v>349</v>
      </c>
      <c r="N161" s="326">
        <v>248686.15</v>
      </c>
      <c r="Q161" s="97">
        <v>3</v>
      </c>
      <c r="R161" s="112">
        <f t="shared" si="9"/>
        <v>6907.9208333333336</v>
      </c>
      <c r="S161" s="111">
        <f t="shared" si="10"/>
        <v>248685.15000000002</v>
      </c>
      <c r="T161" s="111">
        <f t="shared" si="12"/>
        <v>0.99999999997089617</v>
      </c>
      <c r="W161" s="121">
        <f t="shared" si="11"/>
        <v>36</v>
      </c>
    </row>
    <row r="162" spans="1:23" ht="63">
      <c r="B162" s="162" t="s">
        <v>453</v>
      </c>
      <c r="C162" s="97"/>
      <c r="D162" s="97"/>
      <c r="E162" s="97"/>
      <c r="F162" s="98" t="s">
        <v>366</v>
      </c>
      <c r="G162" s="159" t="str">
        <f t="shared" si="13"/>
        <v>3/6/2009</v>
      </c>
      <c r="H162" s="97">
        <v>3</v>
      </c>
      <c r="I162" s="97">
        <v>6</v>
      </c>
      <c r="J162" s="97">
        <v>2009</v>
      </c>
      <c r="K162" s="179" t="s">
        <v>54</v>
      </c>
      <c r="L162" s="98">
        <v>13745</v>
      </c>
      <c r="M162" s="326" t="s">
        <v>349</v>
      </c>
      <c r="N162" s="326">
        <v>42639</v>
      </c>
      <c r="Q162" s="97">
        <v>3</v>
      </c>
      <c r="R162" s="112">
        <f t="shared" si="9"/>
        <v>1184.3888888888889</v>
      </c>
      <c r="S162" s="111">
        <f t="shared" si="10"/>
        <v>42638</v>
      </c>
      <c r="T162" s="111">
        <f t="shared" si="12"/>
        <v>1</v>
      </c>
      <c r="W162" s="121">
        <f t="shared" si="11"/>
        <v>36</v>
      </c>
    </row>
    <row r="163" spans="1:23" ht="63">
      <c r="B163" s="162" t="s">
        <v>456</v>
      </c>
      <c r="C163" s="97"/>
      <c r="D163" s="97"/>
      <c r="E163" s="97"/>
      <c r="F163" s="98" t="s">
        <v>366</v>
      </c>
      <c r="G163" s="159" t="str">
        <f t="shared" si="13"/>
        <v>3/6/2009</v>
      </c>
      <c r="H163" s="97">
        <v>3</v>
      </c>
      <c r="I163" s="97">
        <v>6</v>
      </c>
      <c r="J163" s="97">
        <v>2009</v>
      </c>
      <c r="K163" s="179" t="s">
        <v>54</v>
      </c>
      <c r="L163" s="98">
        <v>13745</v>
      </c>
      <c r="M163" s="326" t="s">
        <v>349</v>
      </c>
      <c r="N163" s="326">
        <v>42639.01</v>
      </c>
      <c r="Q163" s="97">
        <v>3</v>
      </c>
      <c r="R163" s="112">
        <f t="shared" si="9"/>
        <v>1184.3891666666666</v>
      </c>
      <c r="S163" s="111">
        <f t="shared" si="10"/>
        <v>42638.009999999995</v>
      </c>
      <c r="T163" s="111">
        <f t="shared" si="12"/>
        <v>1.000000000007276</v>
      </c>
      <c r="W163" s="121">
        <f t="shared" si="11"/>
        <v>36</v>
      </c>
    </row>
    <row r="164" spans="1:23" ht="63">
      <c r="B164" s="162" t="s">
        <v>457</v>
      </c>
      <c r="C164" s="97"/>
      <c r="D164" s="97"/>
      <c r="E164" s="97"/>
      <c r="F164" s="98" t="s">
        <v>366</v>
      </c>
      <c r="G164" s="159" t="str">
        <f t="shared" si="13"/>
        <v>3/6/2009</v>
      </c>
      <c r="H164" s="97">
        <v>3</v>
      </c>
      <c r="I164" s="97">
        <v>6</v>
      </c>
      <c r="J164" s="97">
        <v>2009</v>
      </c>
      <c r="K164" s="179" t="s">
        <v>54</v>
      </c>
      <c r="L164" s="98">
        <v>13745</v>
      </c>
      <c r="M164" s="326" t="s">
        <v>349</v>
      </c>
      <c r="N164" s="326">
        <v>42639.01</v>
      </c>
      <c r="Q164" s="97">
        <v>3</v>
      </c>
      <c r="R164" s="112">
        <f t="shared" si="9"/>
        <v>1184.3891666666666</v>
      </c>
      <c r="S164" s="111">
        <f t="shared" si="10"/>
        <v>42638.009999999995</v>
      </c>
      <c r="T164" s="111">
        <f t="shared" si="12"/>
        <v>1.000000000007276</v>
      </c>
      <c r="W164" s="121">
        <f t="shared" si="11"/>
        <v>36</v>
      </c>
    </row>
    <row r="165" spans="1:23" ht="63">
      <c r="B165" s="162" t="s">
        <v>453</v>
      </c>
      <c r="C165" s="97"/>
      <c r="D165" s="97"/>
      <c r="E165" s="97"/>
      <c r="F165" s="98" t="s">
        <v>366</v>
      </c>
      <c r="G165" s="159" t="str">
        <f t="shared" si="13"/>
        <v>3/6/2009</v>
      </c>
      <c r="H165" s="97">
        <v>3</v>
      </c>
      <c r="I165" s="97">
        <v>6</v>
      </c>
      <c r="J165" s="97">
        <v>2009</v>
      </c>
      <c r="K165" s="179" t="s">
        <v>54</v>
      </c>
      <c r="L165" s="98">
        <v>13745</v>
      </c>
      <c r="M165" s="326" t="s">
        <v>349</v>
      </c>
      <c r="N165" s="326">
        <v>42639.01</v>
      </c>
      <c r="Q165" s="97">
        <v>3</v>
      </c>
      <c r="R165" s="112">
        <f t="shared" si="9"/>
        <v>1184.3891666666666</v>
      </c>
      <c r="S165" s="111">
        <f t="shared" si="10"/>
        <v>42638.009999999995</v>
      </c>
      <c r="T165" s="111">
        <f t="shared" si="12"/>
        <v>1.000000000007276</v>
      </c>
      <c r="W165" s="121">
        <f t="shared" si="11"/>
        <v>36</v>
      </c>
    </row>
    <row r="166" spans="1:23" ht="63">
      <c r="B166" s="162" t="s">
        <v>454</v>
      </c>
      <c r="C166" s="97"/>
      <c r="D166" s="97"/>
      <c r="E166" s="97"/>
      <c r="F166" s="98" t="s">
        <v>366</v>
      </c>
      <c r="G166" s="159" t="str">
        <f t="shared" si="13"/>
        <v>3/6/2009</v>
      </c>
      <c r="H166" s="97">
        <v>3</v>
      </c>
      <c r="I166" s="97">
        <v>6</v>
      </c>
      <c r="J166" s="97">
        <v>2009</v>
      </c>
      <c r="K166" s="179" t="s">
        <v>54</v>
      </c>
      <c r="L166" s="98">
        <v>13745</v>
      </c>
      <c r="M166" s="326" t="s">
        <v>349</v>
      </c>
      <c r="N166" s="326">
        <v>42639.01</v>
      </c>
      <c r="Q166" s="97">
        <v>3</v>
      </c>
      <c r="R166" s="112">
        <f t="shared" si="9"/>
        <v>1184.3891666666666</v>
      </c>
      <c r="S166" s="111">
        <f t="shared" si="10"/>
        <v>42638.009999999995</v>
      </c>
      <c r="T166" s="111">
        <f t="shared" si="12"/>
        <v>1.000000000007276</v>
      </c>
      <c r="W166" s="121">
        <f t="shared" si="11"/>
        <v>36</v>
      </c>
    </row>
    <row r="167" spans="1:23" ht="63">
      <c r="B167" s="162" t="s">
        <v>456</v>
      </c>
      <c r="C167" s="97"/>
      <c r="D167" s="97"/>
      <c r="E167" s="97"/>
      <c r="F167" s="98" t="s">
        <v>366</v>
      </c>
      <c r="G167" s="159" t="str">
        <f t="shared" si="13"/>
        <v>3/6/2009</v>
      </c>
      <c r="H167" s="97">
        <v>3</v>
      </c>
      <c r="I167" s="97">
        <v>6</v>
      </c>
      <c r="J167" s="97">
        <v>2009</v>
      </c>
      <c r="K167" s="179" t="s">
        <v>54</v>
      </c>
      <c r="L167" s="98">
        <v>13745</v>
      </c>
      <c r="M167" s="326" t="s">
        <v>349</v>
      </c>
      <c r="N167" s="326">
        <v>42639.01</v>
      </c>
      <c r="Q167" s="97">
        <v>3</v>
      </c>
      <c r="R167" s="112">
        <f t="shared" si="9"/>
        <v>1184.3891666666666</v>
      </c>
      <c r="S167" s="111">
        <f t="shared" si="10"/>
        <v>42638.009999999995</v>
      </c>
      <c r="T167" s="111">
        <f t="shared" si="12"/>
        <v>1.000000000007276</v>
      </c>
      <c r="W167" s="121">
        <f t="shared" si="11"/>
        <v>36</v>
      </c>
    </row>
    <row r="168" spans="1:23" ht="63">
      <c r="B168" s="162" t="s">
        <v>454</v>
      </c>
      <c r="C168" s="97"/>
      <c r="D168" s="97"/>
      <c r="E168" s="97"/>
      <c r="F168" s="98" t="s">
        <v>366</v>
      </c>
      <c r="G168" s="159" t="str">
        <f t="shared" si="13"/>
        <v>3/6/2009</v>
      </c>
      <c r="H168" s="97">
        <v>3</v>
      </c>
      <c r="I168" s="97">
        <v>6</v>
      </c>
      <c r="J168" s="97">
        <v>2009</v>
      </c>
      <c r="K168" s="179" t="s">
        <v>54</v>
      </c>
      <c r="L168" s="98">
        <v>13745</v>
      </c>
      <c r="M168" s="326" t="s">
        <v>349</v>
      </c>
      <c r="N168" s="326">
        <v>42639.01</v>
      </c>
      <c r="Q168" s="97">
        <v>3</v>
      </c>
      <c r="R168" s="112">
        <f t="shared" si="9"/>
        <v>1184.3891666666666</v>
      </c>
      <c r="S168" s="111">
        <f t="shared" si="10"/>
        <v>42638.009999999995</v>
      </c>
      <c r="T168" s="111">
        <f t="shared" si="12"/>
        <v>1.000000000007276</v>
      </c>
      <c r="W168" s="121">
        <f t="shared" si="11"/>
        <v>36</v>
      </c>
    </row>
    <row r="169" spans="1:23" ht="63">
      <c r="B169" s="162" t="s">
        <v>455</v>
      </c>
      <c r="C169" s="97"/>
      <c r="D169" s="97"/>
      <c r="E169" s="97"/>
      <c r="F169" s="98" t="s">
        <v>366</v>
      </c>
      <c r="G169" s="159" t="str">
        <f t="shared" si="13"/>
        <v>3/6/2009</v>
      </c>
      <c r="H169" s="97">
        <v>3</v>
      </c>
      <c r="I169" s="97">
        <v>6</v>
      </c>
      <c r="J169" s="97">
        <v>2009</v>
      </c>
      <c r="K169" s="179" t="s">
        <v>54</v>
      </c>
      <c r="L169" s="98">
        <v>13745</v>
      </c>
      <c r="M169" s="326" t="s">
        <v>349</v>
      </c>
      <c r="N169" s="326">
        <v>42639.01</v>
      </c>
      <c r="Q169" s="97">
        <v>3</v>
      </c>
      <c r="R169" s="112">
        <f t="shared" si="9"/>
        <v>1184.3891666666666</v>
      </c>
      <c r="S169" s="111">
        <f t="shared" si="10"/>
        <v>42638.009999999995</v>
      </c>
      <c r="T169" s="111">
        <f t="shared" si="12"/>
        <v>1.000000000007276</v>
      </c>
      <c r="W169" s="121">
        <f t="shared" si="11"/>
        <v>36</v>
      </c>
    </row>
    <row r="170" spans="1:23" ht="63">
      <c r="B170" s="162" t="s">
        <v>454</v>
      </c>
      <c r="C170" s="97"/>
      <c r="D170" s="97"/>
      <c r="E170" s="97"/>
      <c r="F170" s="98" t="s">
        <v>366</v>
      </c>
      <c r="G170" s="159" t="str">
        <f t="shared" si="13"/>
        <v>3/6/2009</v>
      </c>
      <c r="H170" s="97">
        <v>3</v>
      </c>
      <c r="I170" s="97">
        <v>6</v>
      </c>
      <c r="J170" s="97">
        <v>2009</v>
      </c>
      <c r="K170" s="179" t="s">
        <v>54</v>
      </c>
      <c r="L170" s="98">
        <v>13745</v>
      </c>
      <c r="M170" s="326" t="s">
        <v>349</v>
      </c>
      <c r="N170" s="326">
        <v>42639.01</v>
      </c>
      <c r="Q170" s="97">
        <v>3</v>
      </c>
      <c r="R170" s="112">
        <f t="shared" si="9"/>
        <v>1184.3891666666666</v>
      </c>
      <c r="S170" s="111">
        <f t="shared" si="10"/>
        <v>42638.009999999995</v>
      </c>
      <c r="T170" s="111">
        <f t="shared" si="12"/>
        <v>1.000000000007276</v>
      </c>
      <c r="W170" s="121">
        <f t="shared" si="11"/>
        <v>36</v>
      </c>
    </row>
    <row r="171" spans="1:23" ht="63">
      <c r="B171" s="162" t="s">
        <v>453</v>
      </c>
      <c r="C171" s="97"/>
      <c r="D171" s="97"/>
      <c r="E171" s="97"/>
      <c r="F171" s="98" t="s">
        <v>366</v>
      </c>
      <c r="G171" s="159" t="str">
        <f t="shared" si="13"/>
        <v>3/6/2009</v>
      </c>
      <c r="H171" s="97">
        <v>3</v>
      </c>
      <c r="I171" s="97">
        <v>6</v>
      </c>
      <c r="J171" s="97">
        <v>2009</v>
      </c>
      <c r="K171" s="179" t="s">
        <v>54</v>
      </c>
      <c r="L171" s="98">
        <v>13745</v>
      </c>
      <c r="M171" s="326" t="s">
        <v>349</v>
      </c>
      <c r="N171" s="326">
        <v>42639.01</v>
      </c>
      <c r="Q171" s="97">
        <v>3</v>
      </c>
      <c r="R171" s="112">
        <f t="shared" si="9"/>
        <v>1184.3891666666666</v>
      </c>
      <c r="S171" s="111">
        <f t="shared" si="10"/>
        <v>42638.009999999995</v>
      </c>
      <c r="T171" s="111">
        <f t="shared" si="12"/>
        <v>1.000000000007276</v>
      </c>
      <c r="W171" s="121">
        <f t="shared" si="11"/>
        <v>36</v>
      </c>
    </row>
    <row r="172" spans="1:23" ht="31.5">
      <c r="B172" s="162" t="s">
        <v>452</v>
      </c>
      <c r="C172" s="97"/>
      <c r="D172" s="97"/>
      <c r="E172" s="97"/>
      <c r="F172" s="98" t="s">
        <v>366</v>
      </c>
      <c r="G172" s="159" t="str">
        <f t="shared" si="13"/>
        <v>3/6/2009</v>
      </c>
      <c r="H172" s="97">
        <v>3</v>
      </c>
      <c r="I172" s="97">
        <v>6</v>
      </c>
      <c r="J172" s="97">
        <v>2009</v>
      </c>
      <c r="K172" s="179" t="s">
        <v>54</v>
      </c>
      <c r="L172" s="98">
        <v>13745</v>
      </c>
      <c r="M172" s="326" t="s">
        <v>349</v>
      </c>
      <c r="N172" s="326">
        <v>85294.88</v>
      </c>
      <c r="Q172" s="97">
        <v>3</v>
      </c>
      <c r="R172" s="112">
        <f t="shared" si="9"/>
        <v>2369.2744444444447</v>
      </c>
      <c r="S172" s="111">
        <f t="shared" si="10"/>
        <v>85293.88</v>
      </c>
      <c r="T172" s="111">
        <f t="shared" si="12"/>
        <v>1</v>
      </c>
      <c r="W172" s="121">
        <f t="shared" si="11"/>
        <v>36</v>
      </c>
    </row>
    <row r="173" spans="1:23" ht="31.5">
      <c r="B173" s="162" t="s">
        <v>452</v>
      </c>
      <c r="C173" s="97"/>
      <c r="D173" s="97"/>
      <c r="E173" s="97"/>
      <c r="F173" s="98" t="s">
        <v>366</v>
      </c>
      <c r="G173" s="159" t="str">
        <f t="shared" si="13"/>
        <v>3/6/2009</v>
      </c>
      <c r="H173" s="97">
        <v>3</v>
      </c>
      <c r="I173" s="97">
        <v>6</v>
      </c>
      <c r="J173" s="97">
        <v>2009</v>
      </c>
      <c r="K173" s="179" t="s">
        <v>54</v>
      </c>
      <c r="L173" s="98">
        <v>13745</v>
      </c>
      <c r="M173" s="326" t="s">
        <v>349</v>
      </c>
      <c r="N173" s="326">
        <v>85294.88</v>
      </c>
      <c r="Q173" s="97">
        <v>3</v>
      </c>
      <c r="R173" s="112">
        <f t="shared" si="9"/>
        <v>2369.2744444444447</v>
      </c>
      <c r="S173" s="111">
        <f t="shared" si="10"/>
        <v>85293.88</v>
      </c>
      <c r="T173" s="111">
        <f t="shared" si="12"/>
        <v>1</v>
      </c>
      <c r="W173" s="121">
        <f t="shared" si="11"/>
        <v>36</v>
      </c>
    </row>
    <row r="174" spans="1:23" ht="31.5">
      <c r="B174" s="162" t="s">
        <v>452</v>
      </c>
      <c r="C174" s="97"/>
      <c r="D174" s="97"/>
      <c r="E174" s="97"/>
      <c r="F174" s="98" t="s">
        <v>366</v>
      </c>
      <c r="G174" s="159" t="str">
        <f t="shared" ref="G174:G205" si="14">CONCATENATE(H174,"/",I174,"/",J174,)</f>
        <v>3/6/2009</v>
      </c>
      <c r="H174" s="97">
        <v>3</v>
      </c>
      <c r="I174" s="97">
        <v>6</v>
      </c>
      <c r="J174" s="97">
        <v>2009</v>
      </c>
      <c r="K174" s="179" t="s">
        <v>54</v>
      </c>
      <c r="L174" s="98">
        <v>13745</v>
      </c>
      <c r="M174" s="326" t="s">
        <v>349</v>
      </c>
      <c r="N174" s="326">
        <v>85294.88</v>
      </c>
      <c r="Q174" s="97">
        <v>3</v>
      </c>
      <c r="R174" s="112">
        <f t="shared" si="9"/>
        <v>2369.2744444444447</v>
      </c>
      <c r="S174" s="111">
        <f t="shared" si="10"/>
        <v>85293.88</v>
      </c>
      <c r="T174" s="111">
        <f t="shared" si="12"/>
        <v>1</v>
      </c>
      <c r="W174" s="121">
        <f t="shared" si="11"/>
        <v>36</v>
      </c>
    </row>
    <row r="175" spans="1:23">
      <c r="A175" s="97"/>
      <c r="B175" s="98" t="s">
        <v>451</v>
      </c>
      <c r="C175" s="98" t="s">
        <v>450</v>
      </c>
      <c r="E175" s="98" t="s">
        <v>449</v>
      </c>
      <c r="F175" s="98" t="s">
        <v>448</v>
      </c>
      <c r="G175" s="159" t="str">
        <f t="shared" si="14"/>
        <v>2/6/2010</v>
      </c>
      <c r="H175" s="158">
        <v>2</v>
      </c>
      <c r="I175" s="158">
        <v>6</v>
      </c>
      <c r="J175" s="157">
        <v>2010</v>
      </c>
      <c r="K175" s="98" t="s">
        <v>54</v>
      </c>
      <c r="L175" s="98">
        <v>20038</v>
      </c>
      <c r="M175" s="325" t="s">
        <v>349</v>
      </c>
      <c r="N175" s="316">
        <v>15558.5</v>
      </c>
      <c r="Q175" s="97">
        <v>3</v>
      </c>
      <c r="R175" s="112">
        <f t="shared" si="9"/>
        <v>432.15277777777777</v>
      </c>
      <c r="S175" s="111">
        <f t="shared" si="10"/>
        <v>15557.5</v>
      </c>
      <c r="T175" s="111">
        <f t="shared" si="12"/>
        <v>1</v>
      </c>
      <c r="W175" s="121">
        <f t="shared" si="11"/>
        <v>36</v>
      </c>
    </row>
    <row r="176" spans="1:23">
      <c r="A176" s="97"/>
      <c r="B176" s="98" t="s">
        <v>447</v>
      </c>
      <c r="C176" s="98" t="s">
        <v>446</v>
      </c>
      <c r="E176" s="98" t="s">
        <v>445</v>
      </c>
      <c r="F176" s="98" t="s">
        <v>428</v>
      </c>
      <c r="G176" s="159" t="str">
        <f t="shared" si="14"/>
        <v>19/5/2010</v>
      </c>
      <c r="H176" s="158">
        <v>19</v>
      </c>
      <c r="I176" s="158">
        <v>5</v>
      </c>
      <c r="J176" s="157">
        <v>2010</v>
      </c>
      <c r="K176" s="98" t="s">
        <v>54</v>
      </c>
      <c r="L176" s="98">
        <v>16096</v>
      </c>
      <c r="M176" s="325" t="s">
        <v>349</v>
      </c>
      <c r="N176" s="316">
        <v>5045</v>
      </c>
      <c r="Q176" s="97">
        <v>3</v>
      </c>
      <c r="R176" s="112">
        <f t="shared" si="9"/>
        <v>140.11111111111111</v>
      </c>
      <c r="S176" s="111">
        <f t="shared" si="10"/>
        <v>5044</v>
      </c>
      <c r="T176" s="111">
        <f t="shared" si="12"/>
        <v>1</v>
      </c>
      <c r="W176" s="121">
        <f t="shared" si="11"/>
        <v>36</v>
      </c>
    </row>
    <row r="177" spans="2:23" s="97" customFormat="1">
      <c r="B177" s="98" t="s">
        <v>443</v>
      </c>
      <c r="C177" s="98"/>
      <c r="D177" s="98"/>
      <c r="E177" s="98"/>
      <c r="F177" s="98" t="s">
        <v>396</v>
      </c>
      <c r="G177" s="159" t="str">
        <f t="shared" si="14"/>
        <v>8/8/2010</v>
      </c>
      <c r="H177" s="158">
        <v>8</v>
      </c>
      <c r="I177" s="158">
        <v>8</v>
      </c>
      <c r="J177" s="157">
        <v>2010</v>
      </c>
      <c r="K177" s="98" t="s">
        <v>54</v>
      </c>
      <c r="L177" s="98" t="s">
        <v>444</v>
      </c>
      <c r="M177" s="325" t="s">
        <v>349</v>
      </c>
      <c r="N177" s="316">
        <v>1334</v>
      </c>
      <c r="P177" s="161"/>
      <c r="Q177" s="97">
        <v>3</v>
      </c>
      <c r="R177" s="112">
        <f t="shared" si="9"/>
        <v>37.027777777777779</v>
      </c>
      <c r="S177" s="111">
        <f t="shared" si="10"/>
        <v>1333</v>
      </c>
      <c r="T177" s="111">
        <f t="shared" si="12"/>
        <v>1</v>
      </c>
      <c r="W177" s="121">
        <f t="shared" si="11"/>
        <v>36</v>
      </c>
    </row>
    <row r="178" spans="2:23" s="97" customFormat="1">
      <c r="B178" s="98" t="s">
        <v>443</v>
      </c>
      <c r="C178" s="98"/>
      <c r="D178" s="98"/>
      <c r="E178" s="98"/>
      <c r="F178" s="98"/>
      <c r="G178" s="159" t="str">
        <f t="shared" si="14"/>
        <v>8/8/2010</v>
      </c>
      <c r="H178" s="158">
        <v>8</v>
      </c>
      <c r="I178" s="158">
        <v>8</v>
      </c>
      <c r="J178" s="157">
        <v>2010</v>
      </c>
      <c r="K178" s="98" t="s">
        <v>54</v>
      </c>
      <c r="L178" s="98" t="s">
        <v>442</v>
      </c>
      <c r="M178" s="325" t="s">
        <v>349</v>
      </c>
      <c r="N178" s="316">
        <v>1334</v>
      </c>
      <c r="Q178" s="97">
        <v>3</v>
      </c>
      <c r="R178" s="112">
        <f t="shared" si="9"/>
        <v>37.027777777777779</v>
      </c>
      <c r="S178" s="111">
        <f t="shared" si="10"/>
        <v>1333</v>
      </c>
      <c r="T178" s="111">
        <f t="shared" si="12"/>
        <v>1</v>
      </c>
      <c r="W178" s="121">
        <f t="shared" si="11"/>
        <v>36</v>
      </c>
    </row>
    <row r="179" spans="2:23" s="97" customFormat="1" ht="63">
      <c r="B179" s="160" t="s">
        <v>441</v>
      </c>
      <c r="C179" s="98"/>
      <c r="D179" s="98"/>
      <c r="E179" s="98"/>
      <c r="F179" s="98" t="s">
        <v>435</v>
      </c>
      <c r="G179" s="159" t="str">
        <f t="shared" si="14"/>
        <v>23/3/2010</v>
      </c>
      <c r="H179" s="158">
        <v>23</v>
      </c>
      <c r="I179" s="158">
        <v>3</v>
      </c>
      <c r="J179" s="157">
        <v>2010</v>
      </c>
      <c r="K179" s="98" t="s">
        <v>54</v>
      </c>
      <c r="L179" s="98" t="s">
        <v>440</v>
      </c>
      <c r="M179" s="325" t="s">
        <v>349</v>
      </c>
      <c r="N179" s="316">
        <v>158405.29999999999</v>
      </c>
      <c r="Q179" s="97">
        <v>3</v>
      </c>
      <c r="R179" s="112">
        <f t="shared" si="9"/>
        <v>4400.1194444444436</v>
      </c>
      <c r="S179" s="111">
        <f t="shared" si="10"/>
        <v>158404.29999999996</v>
      </c>
      <c r="T179" s="111">
        <f t="shared" si="12"/>
        <v>1.0000000000291038</v>
      </c>
      <c r="W179" s="121">
        <f t="shared" si="11"/>
        <v>36</v>
      </c>
    </row>
    <row r="180" spans="2:23" s="97" customFormat="1" ht="63">
      <c r="B180" s="160" t="s">
        <v>441</v>
      </c>
      <c r="C180" s="98"/>
      <c r="D180" s="98"/>
      <c r="E180" s="98"/>
      <c r="F180" s="98" t="s">
        <v>435</v>
      </c>
      <c r="G180" s="159" t="str">
        <f t="shared" si="14"/>
        <v>23/3/2010</v>
      </c>
      <c r="H180" s="158">
        <v>23</v>
      </c>
      <c r="I180" s="158">
        <v>3</v>
      </c>
      <c r="J180" s="157">
        <v>2010</v>
      </c>
      <c r="K180" s="98" t="s">
        <v>54</v>
      </c>
      <c r="L180" s="98" t="s">
        <v>440</v>
      </c>
      <c r="M180" s="325" t="s">
        <v>349</v>
      </c>
      <c r="N180" s="316">
        <v>158405.29999999999</v>
      </c>
      <c r="P180" s="161"/>
      <c r="Q180" s="97">
        <v>3</v>
      </c>
      <c r="R180" s="112">
        <f t="shared" si="9"/>
        <v>4400.1194444444436</v>
      </c>
      <c r="S180" s="111">
        <f t="shared" si="10"/>
        <v>158404.29999999996</v>
      </c>
      <c r="T180" s="111">
        <f t="shared" si="12"/>
        <v>1.0000000000291038</v>
      </c>
      <c r="W180" s="121">
        <f t="shared" si="11"/>
        <v>36</v>
      </c>
    </row>
    <row r="181" spans="2:23" s="97" customFormat="1" ht="63">
      <c r="B181" s="160" t="s">
        <v>441</v>
      </c>
      <c r="C181" s="98"/>
      <c r="D181" s="98"/>
      <c r="E181" s="98"/>
      <c r="F181" s="98" t="s">
        <v>435</v>
      </c>
      <c r="G181" s="159" t="str">
        <f t="shared" si="14"/>
        <v>23/3/2010</v>
      </c>
      <c r="H181" s="158">
        <v>23</v>
      </c>
      <c r="I181" s="158">
        <v>3</v>
      </c>
      <c r="J181" s="157">
        <v>2010</v>
      </c>
      <c r="K181" s="98" t="s">
        <v>54</v>
      </c>
      <c r="L181" s="98" t="s">
        <v>440</v>
      </c>
      <c r="M181" s="325" t="s">
        <v>349</v>
      </c>
      <c r="N181" s="316">
        <v>158405.29999999999</v>
      </c>
      <c r="Q181" s="97">
        <v>3</v>
      </c>
      <c r="R181" s="112">
        <f t="shared" si="9"/>
        <v>4400.1194444444436</v>
      </c>
      <c r="S181" s="111">
        <f t="shared" si="10"/>
        <v>158404.29999999996</v>
      </c>
      <c r="T181" s="111">
        <f t="shared" si="12"/>
        <v>1.0000000000291038</v>
      </c>
      <c r="W181" s="121">
        <f t="shared" si="11"/>
        <v>36</v>
      </c>
    </row>
    <row r="182" spans="2:23" s="97" customFormat="1" ht="63">
      <c r="B182" s="160" t="s">
        <v>441</v>
      </c>
      <c r="C182" s="98"/>
      <c r="D182" s="98"/>
      <c r="E182" s="98"/>
      <c r="F182" s="98" t="s">
        <v>435</v>
      </c>
      <c r="G182" s="159" t="str">
        <f t="shared" si="14"/>
        <v>23/3/2010</v>
      </c>
      <c r="H182" s="158">
        <v>23</v>
      </c>
      <c r="I182" s="158">
        <v>3</v>
      </c>
      <c r="J182" s="157">
        <v>2010</v>
      </c>
      <c r="K182" s="98" t="s">
        <v>54</v>
      </c>
      <c r="L182" s="98" t="s">
        <v>440</v>
      </c>
      <c r="M182" s="325" t="s">
        <v>349</v>
      </c>
      <c r="N182" s="316">
        <v>158405.29999999999</v>
      </c>
      <c r="Q182" s="97">
        <v>3</v>
      </c>
      <c r="R182" s="112">
        <f t="shared" si="9"/>
        <v>4400.1194444444436</v>
      </c>
      <c r="S182" s="111">
        <f t="shared" si="10"/>
        <v>158404.29999999996</v>
      </c>
      <c r="T182" s="111">
        <f t="shared" si="12"/>
        <v>1.0000000000291038</v>
      </c>
      <c r="W182" s="121">
        <f t="shared" si="11"/>
        <v>36</v>
      </c>
    </row>
    <row r="183" spans="2:23" s="97" customFormat="1" ht="63">
      <c r="B183" s="160" t="s">
        <v>441</v>
      </c>
      <c r="C183" s="98"/>
      <c r="D183" s="98"/>
      <c r="E183" s="98"/>
      <c r="F183" s="98" t="s">
        <v>435</v>
      </c>
      <c r="G183" s="159" t="str">
        <f t="shared" si="14"/>
        <v>23/3/2010</v>
      </c>
      <c r="H183" s="158">
        <v>23</v>
      </c>
      <c r="I183" s="158">
        <v>3</v>
      </c>
      <c r="J183" s="157">
        <v>2010</v>
      </c>
      <c r="K183" s="98" t="s">
        <v>54</v>
      </c>
      <c r="L183" s="98" t="s">
        <v>440</v>
      </c>
      <c r="M183" s="325" t="s">
        <v>349</v>
      </c>
      <c r="N183" s="316">
        <v>158405.29999999999</v>
      </c>
      <c r="Q183" s="97">
        <v>3</v>
      </c>
      <c r="R183" s="112">
        <f t="shared" si="9"/>
        <v>4400.1194444444436</v>
      </c>
      <c r="S183" s="111">
        <f t="shared" si="10"/>
        <v>158404.29999999996</v>
      </c>
      <c r="T183" s="111">
        <f t="shared" si="12"/>
        <v>1.0000000000291038</v>
      </c>
      <c r="W183" s="121">
        <f t="shared" si="11"/>
        <v>36</v>
      </c>
    </row>
    <row r="184" spans="2:23" s="97" customFormat="1" ht="47.25">
      <c r="B184" s="160" t="s">
        <v>439</v>
      </c>
      <c r="C184" s="98"/>
      <c r="D184" s="98"/>
      <c r="E184" s="98"/>
      <c r="F184" s="98" t="s">
        <v>435</v>
      </c>
      <c r="G184" s="159" t="str">
        <f t="shared" si="14"/>
        <v>23/3/2010</v>
      </c>
      <c r="H184" s="158">
        <v>23</v>
      </c>
      <c r="I184" s="158">
        <v>3</v>
      </c>
      <c r="J184" s="157">
        <v>2010</v>
      </c>
      <c r="K184" s="98" t="s">
        <v>54</v>
      </c>
      <c r="L184" s="98" t="s">
        <v>434</v>
      </c>
      <c r="M184" s="325" t="s">
        <v>349</v>
      </c>
      <c r="N184" s="316">
        <v>14155.97</v>
      </c>
      <c r="P184" s="161"/>
      <c r="Q184" s="97">
        <v>3</v>
      </c>
      <c r="R184" s="112">
        <f t="shared" si="9"/>
        <v>393.19361111111107</v>
      </c>
      <c r="S184" s="111">
        <f t="shared" si="10"/>
        <v>14154.969999999998</v>
      </c>
      <c r="T184" s="111">
        <f t="shared" si="12"/>
        <v>1.000000000001819</v>
      </c>
      <c r="W184" s="121">
        <f t="shared" si="11"/>
        <v>36</v>
      </c>
    </row>
    <row r="185" spans="2:23" s="97" customFormat="1" ht="47.25">
      <c r="B185" s="160" t="s">
        <v>439</v>
      </c>
      <c r="C185" s="98"/>
      <c r="D185" s="98"/>
      <c r="E185" s="98"/>
      <c r="F185" s="98" t="s">
        <v>435</v>
      </c>
      <c r="G185" s="159" t="str">
        <f t="shared" si="14"/>
        <v>23/3/2010</v>
      </c>
      <c r="H185" s="158">
        <v>23</v>
      </c>
      <c r="I185" s="158">
        <v>3</v>
      </c>
      <c r="J185" s="157">
        <v>2010</v>
      </c>
      <c r="K185" s="98" t="s">
        <v>54</v>
      </c>
      <c r="L185" s="98" t="s">
        <v>434</v>
      </c>
      <c r="M185" s="325" t="s">
        <v>349</v>
      </c>
      <c r="N185" s="316">
        <v>14155.97</v>
      </c>
      <c r="Q185" s="97">
        <v>3</v>
      </c>
      <c r="R185" s="112">
        <f t="shared" si="9"/>
        <v>393.19361111111107</v>
      </c>
      <c r="S185" s="111">
        <f t="shared" si="10"/>
        <v>14154.969999999998</v>
      </c>
      <c r="T185" s="111">
        <f t="shared" si="12"/>
        <v>1.000000000001819</v>
      </c>
      <c r="W185" s="121">
        <f t="shared" si="11"/>
        <v>36</v>
      </c>
    </row>
    <row r="186" spans="2:23" s="97" customFormat="1" ht="47.25">
      <c r="B186" s="160" t="s">
        <v>439</v>
      </c>
      <c r="C186" s="98"/>
      <c r="D186" s="98"/>
      <c r="E186" s="98"/>
      <c r="F186" s="98" t="s">
        <v>435</v>
      </c>
      <c r="G186" s="159" t="str">
        <f t="shared" si="14"/>
        <v>23/3/2010</v>
      </c>
      <c r="H186" s="158">
        <v>23</v>
      </c>
      <c r="I186" s="158">
        <v>3</v>
      </c>
      <c r="J186" s="157">
        <v>2010</v>
      </c>
      <c r="K186" s="98" t="s">
        <v>54</v>
      </c>
      <c r="L186" s="98" t="s">
        <v>434</v>
      </c>
      <c r="M186" s="325" t="s">
        <v>349</v>
      </c>
      <c r="N186" s="316">
        <v>14155.97</v>
      </c>
      <c r="Q186" s="97">
        <v>3</v>
      </c>
      <c r="R186" s="112">
        <f t="shared" si="9"/>
        <v>393.19361111111107</v>
      </c>
      <c r="S186" s="111">
        <f t="shared" si="10"/>
        <v>14154.969999999998</v>
      </c>
      <c r="T186" s="111">
        <f t="shared" si="12"/>
        <v>1.000000000001819</v>
      </c>
      <c r="W186" s="121">
        <f t="shared" si="11"/>
        <v>36</v>
      </c>
    </row>
    <row r="187" spans="2:23" s="97" customFormat="1" ht="47.25">
      <c r="B187" s="160" t="s">
        <v>439</v>
      </c>
      <c r="C187" s="98"/>
      <c r="D187" s="98"/>
      <c r="E187" s="98"/>
      <c r="F187" s="98" t="s">
        <v>435</v>
      </c>
      <c r="G187" s="159" t="str">
        <f t="shared" si="14"/>
        <v>23/3/2010</v>
      </c>
      <c r="H187" s="158">
        <v>23</v>
      </c>
      <c r="I187" s="158">
        <v>3</v>
      </c>
      <c r="J187" s="157">
        <v>2010</v>
      </c>
      <c r="K187" s="98" t="s">
        <v>54</v>
      </c>
      <c r="L187" s="98" t="s">
        <v>434</v>
      </c>
      <c r="M187" s="325" t="s">
        <v>349</v>
      </c>
      <c r="N187" s="316">
        <v>14155.97</v>
      </c>
      <c r="Q187" s="97">
        <v>3</v>
      </c>
      <c r="R187" s="112">
        <f t="shared" si="9"/>
        <v>393.19361111111107</v>
      </c>
      <c r="S187" s="111">
        <f t="shared" si="10"/>
        <v>14154.969999999998</v>
      </c>
      <c r="T187" s="111">
        <f t="shared" si="12"/>
        <v>1.000000000001819</v>
      </c>
      <c r="W187" s="121">
        <f t="shared" si="11"/>
        <v>36</v>
      </c>
    </row>
    <row r="188" spans="2:23" s="97" customFormat="1" ht="47.25">
      <c r="B188" s="160" t="s">
        <v>439</v>
      </c>
      <c r="C188" s="98"/>
      <c r="D188" s="98"/>
      <c r="E188" s="98"/>
      <c r="F188" s="98" t="s">
        <v>435</v>
      </c>
      <c r="G188" s="159" t="str">
        <f t="shared" si="14"/>
        <v>23/3/2010</v>
      </c>
      <c r="H188" s="158">
        <v>23</v>
      </c>
      <c r="I188" s="158">
        <v>3</v>
      </c>
      <c r="J188" s="157">
        <v>2010</v>
      </c>
      <c r="K188" s="98" t="s">
        <v>54</v>
      </c>
      <c r="L188" s="98" t="s">
        <v>434</v>
      </c>
      <c r="M188" s="325" t="s">
        <v>349</v>
      </c>
      <c r="N188" s="316">
        <v>14155.97</v>
      </c>
      <c r="Q188" s="97">
        <v>3</v>
      </c>
      <c r="R188" s="112">
        <f t="shared" si="9"/>
        <v>393.19361111111107</v>
      </c>
      <c r="S188" s="111">
        <f t="shared" si="10"/>
        <v>14154.969999999998</v>
      </c>
      <c r="T188" s="111">
        <f t="shared" si="12"/>
        <v>1.000000000001819</v>
      </c>
      <c r="W188" s="121">
        <f t="shared" si="11"/>
        <v>36</v>
      </c>
    </row>
    <row r="189" spans="2:23" s="97" customFormat="1" ht="47.25">
      <c r="B189" s="160" t="s">
        <v>439</v>
      </c>
      <c r="C189" s="98"/>
      <c r="D189" s="98"/>
      <c r="E189" s="98"/>
      <c r="F189" s="98" t="s">
        <v>435</v>
      </c>
      <c r="G189" s="159" t="str">
        <f t="shared" si="14"/>
        <v>23/3/2010</v>
      </c>
      <c r="H189" s="158">
        <v>23</v>
      </c>
      <c r="I189" s="158">
        <v>3</v>
      </c>
      <c r="J189" s="157">
        <v>2010</v>
      </c>
      <c r="K189" s="98" t="s">
        <v>54</v>
      </c>
      <c r="L189" s="98" t="s">
        <v>434</v>
      </c>
      <c r="M189" s="325" t="s">
        <v>349</v>
      </c>
      <c r="N189" s="316">
        <v>14155.97</v>
      </c>
      <c r="Q189" s="97">
        <v>3</v>
      </c>
      <c r="R189" s="112">
        <f t="shared" si="9"/>
        <v>393.19361111111107</v>
      </c>
      <c r="S189" s="111">
        <f t="shared" si="10"/>
        <v>14154.969999999998</v>
      </c>
      <c r="T189" s="111">
        <f t="shared" si="12"/>
        <v>1.000000000001819</v>
      </c>
      <c r="W189" s="121">
        <f t="shared" si="11"/>
        <v>36</v>
      </c>
    </row>
    <row r="190" spans="2:23" s="97" customFormat="1" ht="47.25">
      <c r="B190" s="160" t="s">
        <v>439</v>
      </c>
      <c r="C190" s="98"/>
      <c r="D190" s="98"/>
      <c r="E190" s="98"/>
      <c r="F190" s="98" t="s">
        <v>435</v>
      </c>
      <c r="G190" s="159" t="str">
        <f t="shared" si="14"/>
        <v>23/3/2010</v>
      </c>
      <c r="H190" s="158">
        <v>23</v>
      </c>
      <c r="I190" s="158">
        <v>3</v>
      </c>
      <c r="J190" s="157">
        <v>2010</v>
      </c>
      <c r="K190" s="98" t="s">
        <v>54</v>
      </c>
      <c r="L190" s="98" t="s">
        <v>434</v>
      </c>
      <c r="M190" s="325" t="s">
        <v>349</v>
      </c>
      <c r="N190" s="316">
        <v>14155.97</v>
      </c>
      <c r="Q190" s="97">
        <v>3</v>
      </c>
      <c r="R190" s="112">
        <f t="shared" si="9"/>
        <v>393.19361111111107</v>
      </c>
      <c r="S190" s="111">
        <f t="shared" si="10"/>
        <v>14154.969999999998</v>
      </c>
      <c r="T190" s="111">
        <f t="shared" si="12"/>
        <v>1.000000000001819</v>
      </c>
      <c r="W190" s="121">
        <f t="shared" si="11"/>
        <v>36</v>
      </c>
    </row>
    <row r="191" spans="2:23" s="97" customFormat="1" ht="47.25">
      <c r="B191" s="160" t="s">
        <v>439</v>
      </c>
      <c r="C191" s="98"/>
      <c r="D191" s="98"/>
      <c r="E191" s="98"/>
      <c r="F191" s="98" t="s">
        <v>435</v>
      </c>
      <c r="G191" s="159" t="str">
        <f t="shared" si="14"/>
        <v>23/3/2010</v>
      </c>
      <c r="H191" s="158">
        <v>23</v>
      </c>
      <c r="I191" s="158">
        <v>3</v>
      </c>
      <c r="J191" s="157">
        <v>2010</v>
      </c>
      <c r="K191" s="98" t="s">
        <v>54</v>
      </c>
      <c r="L191" s="98" t="s">
        <v>434</v>
      </c>
      <c r="M191" s="325" t="s">
        <v>349</v>
      </c>
      <c r="N191" s="316">
        <v>14155.97</v>
      </c>
      <c r="Q191" s="97">
        <v>3</v>
      </c>
      <c r="R191" s="112">
        <f t="shared" si="9"/>
        <v>393.19361111111107</v>
      </c>
      <c r="S191" s="111">
        <f t="shared" si="10"/>
        <v>14154.969999999998</v>
      </c>
      <c r="T191" s="111">
        <f t="shared" si="12"/>
        <v>1.000000000001819</v>
      </c>
      <c r="W191" s="121">
        <f t="shared" si="11"/>
        <v>36</v>
      </c>
    </row>
    <row r="192" spans="2:23" s="97" customFormat="1" ht="47.25">
      <c r="B192" s="160" t="s">
        <v>438</v>
      </c>
      <c r="C192" s="98"/>
      <c r="D192" s="98"/>
      <c r="E192" s="98"/>
      <c r="F192" s="98" t="s">
        <v>435</v>
      </c>
      <c r="G192" s="159" t="str">
        <f t="shared" si="14"/>
        <v>23/3/2010</v>
      </c>
      <c r="H192" s="158">
        <v>23</v>
      </c>
      <c r="I192" s="158">
        <v>3</v>
      </c>
      <c r="J192" s="157">
        <v>2010</v>
      </c>
      <c r="K192" s="98" t="s">
        <v>54</v>
      </c>
      <c r="L192" s="98" t="s">
        <v>434</v>
      </c>
      <c r="M192" s="325" t="s">
        <v>349</v>
      </c>
      <c r="N192" s="316">
        <v>16002.01</v>
      </c>
      <c r="P192" s="161"/>
      <c r="Q192" s="97">
        <v>3</v>
      </c>
      <c r="R192" s="112">
        <f t="shared" si="9"/>
        <v>444.47250000000003</v>
      </c>
      <c r="S192" s="111">
        <f t="shared" si="10"/>
        <v>16001.01</v>
      </c>
      <c r="T192" s="111">
        <f t="shared" si="12"/>
        <v>1</v>
      </c>
      <c r="W192" s="121">
        <f t="shared" si="11"/>
        <v>36</v>
      </c>
    </row>
    <row r="193" spans="2:23" s="97" customFormat="1" ht="47.25">
      <c r="B193" s="160" t="s">
        <v>438</v>
      </c>
      <c r="C193" s="98"/>
      <c r="D193" s="98"/>
      <c r="E193" s="98"/>
      <c r="F193" s="98" t="s">
        <v>435</v>
      </c>
      <c r="G193" s="159" t="str">
        <f t="shared" si="14"/>
        <v>23/3/2010</v>
      </c>
      <c r="H193" s="158">
        <v>23</v>
      </c>
      <c r="I193" s="158">
        <v>3</v>
      </c>
      <c r="J193" s="157">
        <v>2010</v>
      </c>
      <c r="K193" s="98" t="s">
        <v>54</v>
      </c>
      <c r="L193" s="98" t="s">
        <v>434</v>
      </c>
      <c r="M193" s="325" t="s">
        <v>349</v>
      </c>
      <c r="N193" s="316">
        <v>16002.01</v>
      </c>
      <c r="P193" s="161"/>
      <c r="Q193" s="97">
        <v>3</v>
      </c>
      <c r="R193" s="112">
        <f t="shared" si="9"/>
        <v>444.47250000000003</v>
      </c>
      <c r="S193" s="111">
        <f t="shared" si="10"/>
        <v>16001.01</v>
      </c>
      <c r="T193" s="111">
        <f t="shared" si="12"/>
        <v>1</v>
      </c>
      <c r="W193" s="121">
        <f t="shared" si="11"/>
        <v>36</v>
      </c>
    </row>
    <row r="194" spans="2:23" s="97" customFormat="1" ht="47.25">
      <c r="B194" s="160" t="s">
        <v>438</v>
      </c>
      <c r="C194" s="98"/>
      <c r="D194" s="98"/>
      <c r="E194" s="98"/>
      <c r="F194" s="98" t="s">
        <v>435</v>
      </c>
      <c r="G194" s="159" t="str">
        <f t="shared" si="14"/>
        <v>23/3/2010</v>
      </c>
      <c r="H194" s="158">
        <v>23</v>
      </c>
      <c r="I194" s="158">
        <v>3</v>
      </c>
      <c r="J194" s="157">
        <v>2010</v>
      </c>
      <c r="K194" s="98" t="s">
        <v>54</v>
      </c>
      <c r="L194" s="98" t="s">
        <v>434</v>
      </c>
      <c r="M194" s="325" t="s">
        <v>349</v>
      </c>
      <c r="N194" s="316">
        <v>16002.05</v>
      </c>
      <c r="Q194" s="97">
        <v>3</v>
      </c>
      <c r="R194" s="112">
        <f t="shared" si="9"/>
        <v>444.4736111111111</v>
      </c>
      <c r="S194" s="111">
        <f t="shared" si="10"/>
        <v>16001.05</v>
      </c>
      <c r="T194" s="111">
        <f t="shared" si="12"/>
        <v>1</v>
      </c>
      <c r="W194" s="121">
        <f t="shared" si="11"/>
        <v>36</v>
      </c>
    </row>
    <row r="195" spans="2:23" s="97" customFormat="1" ht="47.25">
      <c r="B195" s="160" t="s">
        <v>438</v>
      </c>
      <c r="C195" s="98"/>
      <c r="D195" s="98"/>
      <c r="E195" s="98"/>
      <c r="F195" s="98" t="s">
        <v>435</v>
      </c>
      <c r="G195" s="159" t="str">
        <f t="shared" si="14"/>
        <v>23/3/2010</v>
      </c>
      <c r="H195" s="158">
        <v>23</v>
      </c>
      <c r="I195" s="158">
        <v>3</v>
      </c>
      <c r="J195" s="157">
        <v>2010</v>
      </c>
      <c r="K195" s="98" t="s">
        <v>54</v>
      </c>
      <c r="L195" s="98" t="s">
        <v>434</v>
      </c>
      <c r="M195" s="325" t="s">
        <v>349</v>
      </c>
      <c r="N195" s="316">
        <v>16002.04</v>
      </c>
      <c r="Q195" s="97">
        <v>3</v>
      </c>
      <c r="R195" s="112">
        <f t="shared" si="9"/>
        <v>444.47333333333336</v>
      </c>
      <c r="S195" s="111">
        <f t="shared" si="10"/>
        <v>16001.04</v>
      </c>
      <c r="T195" s="111">
        <f t="shared" si="12"/>
        <v>1</v>
      </c>
      <c r="W195" s="121">
        <f t="shared" si="11"/>
        <v>36</v>
      </c>
    </row>
    <row r="196" spans="2:23" s="97" customFormat="1" ht="47.25">
      <c r="B196" s="160" t="s">
        <v>438</v>
      </c>
      <c r="C196" s="98"/>
      <c r="D196" s="98"/>
      <c r="E196" s="98"/>
      <c r="F196" s="98" t="s">
        <v>435</v>
      </c>
      <c r="G196" s="159" t="str">
        <f t="shared" si="14"/>
        <v>23/3/2010</v>
      </c>
      <c r="H196" s="158">
        <v>23</v>
      </c>
      <c r="I196" s="158">
        <v>3</v>
      </c>
      <c r="J196" s="157">
        <v>2010</v>
      </c>
      <c r="K196" s="98" t="s">
        <v>54</v>
      </c>
      <c r="L196" s="98" t="s">
        <v>434</v>
      </c>
      <c r="M196" s="325" t="s">
        <v>349</v>
      </c>
      <c r="N196" s="316">
        <v>16002.04</v>
      </c>
      <c r="Q196" s="97">
        <v>3</v>
      </c>
      <c r="R196" s="112">
        <f t="shared" si="9"/>
        <v>444.47333333333336</v>
      </c>
      <c r="S196" s="111">
        <f t="shared" si="10"/>
        <v>16001.04</v>
      </c>
      <c r="T196" s="111">
        <f t="shared" si="12"/>
        <v>1</v>
      </c>
      <c r="W196" s="121">
        <f t="shared" si="11"/>
        <v>36</v>
      </c>
    </row>
    <row r="197" spans="2:23" s="97" customFormat="1" ht="31.5">
      <c r="B197" s="160" t="s">
        <v>437</v>
      </c>
      <c r="C197" s="98"/>
      <c r="D197" s="98"/>
      <c r="E197" s="98"/>
      <c r="F197" s="98" t="s">
        <v>435</v>
      </c>
      <c r="G197" s="159" t="str">
        <f t="shared" si="14"/>
        <v>23/3/2010</v>
      </c>
      <c r="H197" s="158">
        <v>23</v>
      </c>
      <c r="I197" s="158">
        <v>3</v>
      </c>
      <c r="J197" s="157">
        <v>2010</v>
      </c>
      <c r="K197" s="98" t="s">
        <v>54</v>
      </c>
      <c r="L197" s="98" t="s">
        <v>434</v>
      </c>
      <c r="M197" s="325" t="s">
        <v>349</v>
      </c>
      <c r="N197" s="316">
        <v>3269.64</v>
      </c>
      <c r="Q197" s="97">
        <v>3</v>
      </c>
      <c r="R197" s="112">
        <f t="shared" si="9"/>
        <v>90.795555555555552</v>
      </c>
      <c r="S197" s="111">
        <f t="shared" si="10"/>
        <v>3268.64</v>
      </c>
      <c r="T197" s="111">
        <f t="shared" si="12"/>
        <v>1</v>
      </c>
      <c r="W197" s="121">
        <f t="shared" si="11"/>
        <v>36</v>
      </c>
    </row>
    <row r="198" spans="2:23" s="97" customFormat="1" ht="31.5">
      <c r="B198" s="160" t="s">
        <v>437</v>
      </c>
      <c r="C198" s="98"/>
      <c r="D198" s="98"/>
      <c r="E198" s="98"/>
      <c r="F198" s="98" t="s">
        <v>435</v>
      </c>
      <c r="G198" s="159" t="str">
        <f t="shared" si="14"/>
        <v>23/3/2010</v>
      </c>
      <c r="H198" s="158">
        <v>23</v>
      </c>
      <c r="I198" s="158">
        <v>3</v>
      </c>
      <c r="J198" s="157">
        <v>2010</v>
      </c>
      <c r="K198" s="98" t="s">
        <v>54</v>
      </c>
      <c r="L198" s="98" t="s">
        <v>434</v>
      </c>
      <c r="M198" s="325" t="s">
        <v>349</v>
      </c>
      <c r="N198" s="316">
        <v>3269.64</v>
      </c>
      <c r="Q198" s="97">
        <v>3</v>
      </c>
      <c r="R198" s="112">
        <f t="shared" si="9"/>
        <v>90.795555555555552</v>
      </c>
      <c r="S198" s="111">
        <f t="shared" si="10"/>
        <v>3268.64</v>
      </c>
      <c r="T198" s="111">
        <f t="shared" si="12"/>
        <v>1</v>
      </c>
      <c r="W198" s="121">
        <f t="shared" si="11"/>
        <v>36</v>
      </c>
    </row>
    <row r="199" spans="2:23" s="97" customFormat="1" ht="31.5">
      <c r="B199" s="160" t="s">
        <v>437</v>
      </c>
      <c r="C199" s="98"/>
      <c r="D199" s="98"/>
      <c r="E199" s="98"/>
      <c r="F199" s="98" t="s">
        <v>435</v>
      </c>
      <c r="G199" s="159" t="str">
        <f t="shared" si="14"/>
        <v>23/3/2010</v>
      </c>
      <c r="H199" s="158">
        <v>23</v>
      </c>
      <c r="I199" s="158">
        <v>3</v>
      </c>
      <c r="J199" s="157">
        <v>2010</v>
      </c>
      <c r="K199" s="98" t="s">
        <v>54</v>
      </c>
      <c r="L199" s="98" t="s">
        <v>434</v>
      </c>
      <c r="M199" s="325" t="s">
        <v>349</v>
      </c>
      <c r="N199" s="316">
        <v>3269.64</v>
      </c>
      <c r="Q199" s="97">
        <v>3</v>
      </c>
      <c r="R199" s="112">
        <f t="shared" ref="R199:R231" si="15">(((N199)-1)/3)/12</f>
        <v>90.795555555555552</v>
      </c>
      <c r="S199" s="111">
        <f t="shared" ref="S199:S247" si="16">R199*W199</f>
        <v>3268.64</v>
      </c>
      <c r="T199" s="111">
        <f t="shared" si="12"/>
        <v>1</v>
      </c>
      <c r="W199" s="121">
        <f t="shared" ref="W199:W247" si="17">IF((DATEDIF(G199,W$4,"m"))&gt;=36,36,(DATEDIF(G199,W$4,"m")))</f>
        <v>36</v>
      </c>
    </row>
    <row r="200" spans="2:23" s="97" customFormat="1" ht="31.5">
      <c r="B200" s="160" t="s">
        <v>437</v>
      </c>
      <c r="C200" s="98"/>
      <c r="D200" s="98"/>
      <c r="E200" s="98"/>
      <c r="F200" s="98" t="s">
        <v>435</v>
      </c>
      <c r="G200" s="159" t="str">
        <f t="shared" si="14"/>
        <v>23/3/2010</v>
      </c>
      <c r="H200" s="158">
        <v>23</v>
      </c>
      <c r="I200" s="158">
        <v>3</v>
      </c>
      <c r="J200" s="157">
        <v>2010</v>
      </c>
      <c r="K200" s="98" t="s">
        <v>54</v>
      </c>
      <c r="L200" s="98" t="s">
        <v>434</v>
      </c>
      <c r="M200" s="325" t="s">
        <v>349</v>
      </c>
      <c r="N200" s="316">
        <v>3269.64</v>
      </c>
      <c r="Q200" s="97">
        <v>3</v>
      </c>
      <c r="R200" s="112">
        <f t="shared" si="15"/>
        <v>90.795555555555552</v>
      </c>
      <c r="S200" s="111">
        <f t="shared" si="16"/>
        <v>3268.64</v>
      </c>
      <c r="T200" s="111">
        <f t="shared" ref="T200:T231" si="18">N200-S200</f>
        <v>1</v>
      </c>
      <c r="W200" s="121">
        <f t="shared" si="17"/>
        <v>36</v>
      </c>
    </row>
    <row r="201" spans="2:23" s="97" customFormat="1" ht="31.5">
      <c r="B201" s="160" t="s">
        <v>436</v>
      </c>
      <c r="C201" s="98"/>
      <c r="D201" s="98"/>
      <c r="E201" s="98"/>
      <c r="F201" s="98" t="s">
        <v>435</v>
      </c>
      <c r="G201" s="159" t="str">
        <f t="shared" si="14"/>
        <v>23/3/2010</v>
      </c>
      <c r="H201" s="158">
        <v>23</v>
      </c>
      <c r="I201" s="158">
        <v>3</v>
      </c>
      <c r="J201" s="157">
        <v>2010</v>
      </c>
      <c r="K201" s="98" t="s">
        <v>54</v>
      </c>
      <c r="L201" s="98" t="s">
        <v>434</v>
      </c>
      <c r="M201" s="325" t="s">
        <v>349</v>
      </c>
      <c r="N201" s="316">
        <v>51086.400000000001</v>
      </c>
      <c r="Q201" s="97">
        <v>3</v>
      </c>
      <c r="R201" s="112">
        <f t="shared" si="15"/>
        <v>1419.038888888889</v>
      </c>
      <c r="S201" s="111">
        <f t="shared" si="16"/>
        <v>51085.4</v>
      </c>
      <c r="T201" s="111">
        <f t="shared" si="18"/>
        <v>1</v>
      </c>
      <c r="W201" s="121">
        <f t="shared" si="17"/>
        <v>36</v>
      </c>
    </row>
    <row r="202" spans="2:23" s="97" customFormat="1">
      <c r="B202" s="98" t="s">
        <v>432</v>
      </c>
      <c r="C202" s="98" t="s">
        <v>433</v>
      </c>
      <c r="D202" s="98"/>
      <c r="E202" s="98"/>
      <c r="F202" s="98" t="s">
        <v>431</v>
      </c>
      <c r="G202" s="159" t="str">
        <f t="shared" si="14"/>
        <v>12/10/2010</v>
      </c>
      <c r="H202" s="158">
        <v>12</v>
      </c>
      <c r="I202" s="158">
        <v>10</v>
      </c>
      <c r="J202" s="157">
        <v>2010</v>
      </c>
      <c r="K202" s="98" t="s">
        <v>54</v>
      </c>
      <c r="L202" s="98">
        <v>2084</v>
      </c>
      <c r="M202" s="325" t="s">
        <v>349</v>
      </c>
      <c r="N202" s="316">
        <v>241301.85</v>
      </c>
      <c r="P202" s="161"/>
      <c r="Q202" s="97">
        <v>3</v>
      </c>
      <c r="R202" s="112">
        <f t="shared" si="15"/>
        <v>6702.8013888888891</v>
      </c>
      <c r="S202" s="111">
        <f t="shared" si="16"/>
        <v>241300.85</v>
      </c>
      <c r="T202" s="111">
        <f t="shared" si="18"/>
        <v>1</v>
      </c>
      <c r="W202" s="121">
        <f t="shared" si="17"/>
        <v>36</v>
      </c>
    </row>
    <row r="203" spans="2:23" s="97" customFormat="1">
      <c r="B203" s="98" t="s">
        <v>432</v>
      </c>
      <c r="C203" s="98"/>
      <c r="D203" s="98"/>
      <c r="E203" s="98"/>
      <c r="F203" s="98" t="s">
        <v>431</v>
      </c>
      <c r="G203" s="159" t="str">
        <f t="shared" si="14"/>
        <v>12/10/2010</v>
      </c>
      <c r="H203" s="158">
        <v>12</v>
      </c>
      <c r="I203" s="158">
        <v>10</v>
      </c>
      <c r="J203" s="157">
        <v>2010</v>
      </c>
      <c r="K203" s="98" t="s">
        <v>54</v>
      </c>
      <c r="L203" s="98">
        <v>2084</v>
      </c>
      <c r="M203" s="325" t="s">
        <v>349</v>
      </c>
      <c r="N203" s="316">
        <v>241301.84</v>
      </c>
      <c r="Q203" s="97">
        <v>3</v>
      </c>
      <c r="R203" s="112">
        <f t="shared" si="15"/>
        <v>6702.8011111111109</v>
      </c>
      <c r="S203" s="111">
        <f t="shared" si="16"/>
        <v>241300.84</v>
      </c>
      <c r="T203" s="111">
        <f t="shared" si="18"/>
        <v>1</v>
      </c>
      <c r="W203" s="121">
        <f t="shared" si="17"/>
        <v>36</v>
      </c>
    </row>
    <row r="204" spans="2:23" s="97" customFormat="1">
      <c r="B204" s="98" t="s">
        <v>432</v>
      </c>
      <c r="C204" s="98"/>
      <c r="D204" s="98"/>
      <c r="E204" s="98"/>
      <c r="F204" s="98" t="s">
        <v>431</v>
      </c>
      <c r="G204" s="159" t="str">
        <f t="shared" si="14"/>
        <v>12/10/2010</v>
      </c>
      <c r="H204" s="158">
        <v>12</v>
      </c>
      <c r="I204" s="158">
        <v>10</v>
      </c>
      <c r="J204" s="157">
        <v>2010</v>
      </c>
      <c r="K204" s="98" t="s">
        <v>54</v>
      </c>
      <c r="L204" s="98">
        <v>2084</v>
      </c>
      <c r="M204" s="325" t="s">
        <v>349</v>
      </c>
      <c r="N204" s="316">
        <v>241301.83</v>
      </c>
      <c r="Q204" s="97">
        <v>3</v>
      </c>
      <c r="R204" s="112">
        <f t="shared" si="15"/>
        <v>6702.8008333333337</v>
      </c>
      <c r="S204" s="111">
        <f t="shared" si="16"/>
        <v>241300.83000000002</v>
      </c>
      <c r="T204" s="111">
        <f t="shared" si="18"/>
        <v>0.99999999997089617</v>
      </c>
      <c r="W204" s="121">
        <f t="shared" si="17"/>
        <v>36</v>
      </c>
    </row>
    <row r="205" spans="2:23" s="97" customFormat="1">
      <c r="B205" s="98" t="s">
        <v>430</v>
      </c>
      <c r="C205" s="98"/>
      <c r="D205" s="98"/>
      <c r="E205" s="98" t="s">
        <v>429</v>
      </c>
      <c r="F205" s="98" t="s">
        <v>428</v>
      </c>
      <c r="G205" s="159" t="str">
        <f t="shared" si="14"/>
        <v>3/11/2010</v>
      </c>
      <c r="H205" s="158">
        <v>3</v>
      </c>
      <c r="I205" s="158">
        <v>11</v>
      </c>
      <c r="J205" s="157">
        <v>2010</v>
      </c>
      <c r="K205" s="98" t="s">
        <v>54</v>
      </c>
      <c r="L205" s="98">
        <v>18697</v>
      </c>
      <c r="M205" s="325" t="s">
        <v>349</v>
      </c>
      <c r="N205" s="316">
        <v>1115</v>
      </c>
      <c r="Q205" s="97">
        <v>3</v>
      </c>
      <c r="R205" s="112">
        <f t="shared" si="15"/>
        <v>30.944444444444443</v>
      </c>
      <c r="S205" s="111">
        <f t="shared" si="16"/>
        <v>1114</v>
      </c>
      <c r="T205" s="111">
        <f t="shared" si="18"/>
        <v>1</v>
      </c>
      <c r="W205" s="121">
        <f t="shared" si="17"/>
        <v>36</v>
      </c>
    </row>
    <row r="206" spans="2:23" s="97" customFormat="1">
      <c r="B206" s="98" t="s">
        <v>427</v>
      </c>
      <c r="C206" s="98" t="s">
        <v>426</v>
      </c>
      <c r="D206" s="98"/>
      <c r="E206" s="98"/>
      <c r="F206" s="98" t="s">
        <v>89</v>
      </c>
      <c r="G206" s="159" t="str">
        <f t="shared" ref="G206:G231" si="19">CONCATENATE(H206,"/",I206,"/",J206,)</f>
        <v>15/12/2010</v>
      </c>
      <c r="H206" s="158">
        <v>15</v>
      </c>
      <c r="I206" s="158">
        <v>12</v>
      </c>
      <c r="J206" s="157">
        <v>2010</v>
      </c>
      <c r="K206" s="98" t="s">
        <v>54</v>
      </c>
      <c r="L206" s="113">
        <v>10004121510</v>
      </c>
      <c r="M206" s="325" t="s">
        <v>349</v>
      </c>
      <c r="N206" s="316">
        <v>4995</v>
      </c>
      <c r="Q206" s="97">
        <v>3</v>
      </c>
      <c r="R206" s="112">
        <f t="shared" si="15"/>
        <v>138.72222222222223</v>
      </c>
      <c r="S206" s="111">
        <f t="shared" si="16"/>
        <v>4994</v>
      </c>
      <c r="T206" s="111">
        <f t="shared" si="18"/>
        <v>1</v>
      </c>
      <c r="W206" s="121">
        <f t="shared" si="17"/>
        <v>36</v>
      </c>
    </row>
    <row r="207" spans="2:23" s="97" customFormat="1">
      <c r="B207" s="98" t="s">
        <v>427</v>
      </c>
      <c r="C207" s="98" t="s">
        <v>426</v>
      </c>
      <c r="D207" s="98"/>
      <c r="E207" s="98"/>
      <c r="F207" s="98" t="s">
        <v>89</v>
      </c>
      <c r="G207" s="159" t="str">
        <f t="shared" si="19"/>
        <v>15/12/2010</v>
      </c>
      <c r="H207" s="158">
        <v>15</v>
      </c>
      <c r="I207" s="158">
        <v>12</v>
      </c>
      <c r="J207" s="157">
        <v>2010</v>
      </c>
      <c r="K207" s="98" t="s">
        <v>54</v>
      </c>
      <c r="L207" s="113">
        <v>10004121510</v>
      </c>
      <c r="M207" s="325" t="s">
        <v>349</v>
      </c>
      <c r="N207" s="316">
        <v>4995</v>
      </c>
      <c r="P207" s="161"/>
      <c r="Q207" s="97">
        <v>3</v>
      </c>
      <c r="R207" s="112">
        <f t="shared" si="15"/>
        <v>138.72222222222223</v>
      </c>
      <c r="S207" s="111">
        <f t="shared" si="16"/>
        <v>4994</v>
      </c>
      <c r="T207" s="111">
        <f t="shared" si="18"/>
        <v>1</v>
      </c>
      <c r="W207" s="121">
        <f t="shared" si="17"/>
        <v>36</v>
      </c>
    </row>
    <row r="208" spans="2:23" s="97" customFormat="1" ht="78.75">
      <c r="B208" s="508" t="s">
        <v>425</v>
      </c>
      <c r="C208" s="98"/>
      <c r="D208" s="98"/>
      <c r="E208" s="113">
        <v>3101091100022</v>
      </c>
      <c r="F208" s="98" t="s">
        <v>422</v>
      </c>
      <c r="G208" s="159" t="str">
        <f t="shared" si="19"/>
        <v>17/1/2010</v>
      </c>
      <c r="H208" s="158">
        <v>17</v>
      </c>
      <c r="I208" s="158">
        <v>1</v>
      </c>
      <c r="J208" s="157">
        <v>2010</v>
      </c>
      <c r="K208" s="98" t="s">
        <v>54</v>
      </c>
      <c r="L208" s="113">
        <v>45123</v>
      </c>
      <c r="M208" s="506" t="s">
        <v>349</v>
      </c>
      <c r="N208" s="507">
        <v>29924.400000000001</v>
      </c>
      <c r="Q208" s="97">
        <v>3</v>
      </c>
      <c r="R208" s="112">
        <f t="shared" si="15"/>
        <v>831.20555555555563</v>
      </c>
      <c r="S208" s="111">
        <f t="shared" si="16"/>
        <v>29923.4</v>
      </c>
      <c r="T208" s="111">
        <f t="shared" si="18"/>
        <v>1</v>
      </c>
      <c r="W208" s="121">
        <f t="shared" si="17"/>
        <v>36</v>
      </c>
    </row>
    <row r="209" spans="2:23" s="97" customFormat="1" ht="78.75">
      <c r="B209" s="508" t="s">
        <v>424</v>
      </c>
      <c r="C209" s="98"/>
      <c r="D209" s="98"/>
      <c r="E209" s="98" t="s">
        <v>423</v>
      </c>
      <c r="F209" s="98" t="s">
        <v>422</v>
      </c>
      <c r="G209" s="159" t="str">
        <f t="shared" si="19"/>
        <v>17/1/2010</v>
      </c>
      <c r="H209" s="158">
        <v>17</v>
      </c>
      <c r="I209" s="158">
        <v>1</v>
      </c>
      <c r="J209" s="157">
        <v>2010</v>
      </c>
      <c r="K209" s="98" t="s">
        <v>54</v>
      </c>
      <c r="L209" s="98">
        <v>45123</v>
      </c>
      <c r="M209" s="506" t="s">
        <v>349</v>
      </c>
      <c r="N209" s="507">
        <v>74000.490000000005</v>
      </c>
      <c r="Q209" s="97">
        <v>3</v>
      </c>
      <c r="R209" s="112">
        <f t="shared" si="15"/>
        <v>2055.5413888888893</v>
      </c>
      <c r="S209" s="111">
        <f t="shared" si="16"/>
        <v>73999.49000000002</v>
      </c>
      <c r="T209" s="111">
        <f t="shared" si="18"/>
        <v>0.99999999998544808</v>
      </c>
      <c r="W209" s="121">
        <f t="shared" si="17"/>
        <v>36</v>
      </c>
    </row>
    <row r="210" spans="2:23" s="97" customFormat="1" ht="78.75">
      <c r="B210" s="160" t="s">
        <v>402</v>
      </c>
      <c r="C210" s="98"/>
      <c r="D210" s="98"/>
      <c r="E210" s="98" t="s">
        <v>421</v>
      </c>
      <c r="F210" s="98" t="s">
        <v>400</v>
      </c>
      <c r="G210" s="159" t="str">
        <f t="shared" si="19"/>
        <v>27/12/2010</v>
      </c>
      <c r="H210" s="158">
        <v>27</v>
      </c>
      <c r="I210" s="158">
        <v>12</v>
      </c>
      <c r="J210" s="157">
        <v>2010</v>
      </c>
      <c r="K210" s="98" t="s">
        <v>54</v>
      </c>
      <c r="L210" s="98">
        <v>20609</v>
      </c>
      <c r="M210" s="325" t="s">
        <v>349</v>
      </c>
      <c r="N210" s="316">
        <v>8375.2000000000007</v>
      </c>
      <c r="P210" s="161">
        <f>+N210+N211+N212+N213+N214+N215+N216+N217+N218+N219+N220+N221+N222+N223+N224+N225+N226+N227+N228+N229</f>
        <v>167504.00000000003</v>
      </c>
      <c r="Q210" s="97">
        <v>3</v>
      </c>
      <c r="R210" s="112">
        <f t="shared" si="15"/>
        <v>232.61666666666667</v>
      </c>
      <c r="S210" s="111">
        <f t="shared" si="16"/>
        <v>8374.2000000000007</v>
      </c>
      <c r="T210" s="111">
        <f t="shared" si="18"/>
        <v>1</v>
      </c>
      <c r="W210" s="121">
        <f t="shared" si="17"/>
        <v>36</v>
      </c>
    </row>
    <row r="211" spans="2:23" s="97" customFormat="1" ht="78.75">
      <c r="B211" s="160" t="s">
        <v>402</v>
      </c>
      <c r="C211" s="98"/>
      <c r="D211" s="98"/>
      <c r="E211" s="98" t="s">
        <v>420</v>
      </c>
      <c r="F211" s="98" t="s">
        <v>400</v>
      </c>
      <c r="G211" s="159" t="str">
        <f t="shared" si="19"/>
        <v>27/12/2010</v>
      </c>
      <c r="H211" s="158">
        <v>27</v>
      </c>
      <c r="I211" s="158">
        <v>12</v>
      </c>
      <c r="J211" s="157">
        <v>2010</v>
      </c>
      <c r="K211" s="98" t="s">
        <v>54</v>
      </c>
      <c r="L211" s="98">
        <v>20609</v>
      </c>
      <c r="M211" s="325" t="s">
        <v>349</v>
      </c>
      <c r="N211" s="316">
        <v>8375.2000000000007</v>
      </c>
      <c r="Q211" s="97">
        <v>3</v>
      </c>
      <c r="R211" s="112">
        <f t="shared" si="15"/>
        <v>232.61666666666667</v>
      </c>
      <c r="S211" s="111">
        <f t="shared" si="16"/>
        <v>8374.2000000000007</v>
      </c>
      <c r="T211" s="111">
        <f t="shared" si="18"/>
        <v>1</v>
      </c>
      <c r="W211" s="121">
        <f t="shared" si="17"/>
        <v>36</v>
      </c>
    </row>
    <row r="212" spans="2:23" s="97" customFormat="1" ht="78.75">
      <c r="B212" s="160" t="s">
        <v>402</v>
      </c>
      <c r="C212" s="98"/>
      <c r="D212" s="98"/>
      <c r="E212" s="98" t="s">
        <v>419</v>
      </c>
      <c r="F212" s="98" t="s">
        <v>400</v>
      </c>
      <c r="G212" s="159" t="str">
        <f t="shared" si="19"/>
        <v>27/12/2010</v>
      </c>
      <c r="H212" s="158">
        <v>27</v>
      </c>
      <c r="I212" s="158">
        <v>12</v>
      </c>
      <c r="J212" s="157">
        <v>2010</v>
      </c>
      <c r="K212" s="98" t="s">
        <v>54</v>
      </c>
      <c r="L212" s="98">
        <v>20609</v>
      </c>
      <c r="M212" s="325" t="s">
        <v>349</v>
      </c>
      <c r="N212" s="316">
        <v>8375.2000000000007</v>
      </c>
      <c r="Q212" s="97">
        <v>3</v>
      </c>
      <c r="R212" s="112">
        <f t="shared" si="15"/>
        <v>232.61666666666667</v>
      </c>
      <c r="S212" s="111">
        <f t="shared" si="16"/>
        <v>8374.2000000000007</v>
      </c>
      <c r="T212" s="111">
        <f t="shared" si="18"/>
        <v>1</v>
      </c>
      <c r="W212" s="121">
        <f t="shared" si="17"/>
        <v>36</v>
      </c>
    </row>
    <row r="213" spans="2:23" s="97" customFormat="1" ht="78.75">
      <c r="B213" s="160" t="s">
        <v>402</v>
      </c>
      <c r="C213" s="98"/>
      <c r="D213" s="98"/>
      <c r="E213" s="98" t="s">
        <v>418</v>
      </c>
      <c r="F213" s="98" t="s">
        <v>400</v>
      </c>
      <c r="G213" s="159" t="str">
        <f t="shared" si="19"/>
        <v>27/12/2010</v>
      </c>
      <c r="H213" s="158">
        <v>27</v>
      </c>
      <c r="I213" s="158">
        <v>12</v>
      </c>
      <c r="J213" s="157">
        <v>2010</v>
      </c>
      <c r="K213" s="98" t="s">
        <v>54</v>
      </c>
      <c r="L213" s="98">
        <v>20609</v>
      </c>
      <c r="M213" s="325" t="s">
        <v>349</v>
      </c>
      <c r="N213" s="316">
        <v>8375.2000000000007</v>
      </c>
      <c r="Q213" s="97">
        <v>3</v>
      </c>
      <c r="R213" s="112">
        <f t="shared" si="15"/>
        <v>232.61666666666667</v>
      </c>
      <c r="S213" s="111">
        <f t="shared" si="16"/>
        <v>8374.2000000000007</v>
      </c>
      <c r="T213" s="111">
        <f t="shared" si="18"/>
        <v>1</v>
      </c>
      <c r="W213" s="121">
        <f t="shared" si="17"/>
        <v>36</v>
      </c>
    </row>
    <row r="214" spans="2:23" s="97" customFormat="1" ht="78.75">
      <c r="B214" s="160" t="s">
        <v>402</v>
      </c>
      <c r="C214" s="98"/>
      <c r="D214" s="98"/>
      <c r="E214" s="98" t="s">
        <v>417</v>
      </c>
      <c r="F214" s="98" t="s">
        <v>400</v>
      </c>
      <c r="G214" s="159" t="str">
        <f t="shared" si="19"/>
        <v>27/12/2010</v>
      </c>
      <c r="H214" s="158">
        <v>27</v>
      </c>
      <c r="I214" s="158">
        <v>12</v>
      </c>
      <c r="J214" s="157">
        <v>2010</v>
      </c>
      <c r="K214" s="98" t="s">
        <v>54</v>
      </c>
      <c r="L214" s="98">
        <v>20609</v>
      </c>
      <c r="M214" s="325" t="s">
        <v>349</v>
      </c>
      <c r="N214" s="316">
        <v>8375.2000000000007</v>
      </c>
      <c r="Q214" s="97">
        <v>3</v>
      </c>
      <c r="R214" s="112">
        <f t="shared" si="15"/>
        <v>232.61666666666667</v>
      </c>
      <c r="S214" s="111">
        <f t="shared" si="16"/>
        <v>8374.2000000000007</v>
      </c>
      <c r="T214" s="111">
        <f t="shared" si="18"/>
        <v>1</v>
      </c>
      <c r="W214" s="121">
        <f t="shared" si="17"/>
        <v>36</v>
      </c>
    </row>
    <row r="215" spans="2:23" s="97" customFormat="1" ht="78.75">
      <c r="B215" s="160" t="s">
        <v>402</v>
      </c>
      <c r="C215" s="98"/>
      <c r="D215" s="98"/>
      <c r="E215" s="98" t="s">
        <v>416</v>
      </c>
      <c r="F215" s="98" t="s">
        <v>400</v>
      </c>
      <c r="G215" s="159" t="str">
        <f t="shared" si="19"/>
        <v>27/12/2010</v>
      </c>
      <c r="H215" s="158">
        <v>27</v>
      </c>
      <c r="I215" s="158">
        <v>12</v>
      </c>
      <c r="J215" s="157">
        <v>2010</v>
      </c>
      <c r="K215" s="98" t="s">
        <v>54</v>
      </c>
      <c r="L215" s="98">
        <v>20609</v>
      </c>
      <c r="M215" s="325" t="s">
        <v>349</v>
      </c>
      <c r="N215" s="316">
        <v>8375.2000000000007</v>
      </c>
      <c r="Q215" s="97">
        <v>3</v>
      </c>
      <c r="R215" s="112">
        <f t="shared" si="15"/>
        <v>232.61666666666667</v>
      </c>
      <c r="S215" s="111">
        <f t="shared" si="16"/>
        <v>8374.2000000000007</v>
      </c>
      <c r="T215" s="111">
        <f t="shared" si="18"/>
        <v>1</v>
      </c>
      <c r="W215" s="121">
        <f t="shared" si="17"/>
        <v>36</v>
      </c>
    </row>
    <row r="216" spans="2:23" s="97" customFormat="1" ht="78.75">
      <c r="B216" s="160" t="s">
        <v>402</v>
      </c>
      <c r="C216" s="98"/>
      <c r="D216" s="98"/>
      <c r="E216" s="98" t="s">
        <v>415</v>
      </c>
      <c r="F216" s="98" t="s">
        <v>400</v>
      </c>
      <c r="G216" s="159" t="str">
        <f t="shared" si="19"/>
        <v>27/12/2010</v>
      </c>
      <c r="H216" s="158">
        <v>27</v>
      </c>
      <c r="I216" s="158">
        <v>12</v>
      </c>
      <c r="J216" s="157">
        <v>2010</v>
      </c>
      <c r="K216" s="98" t="s">
        <v>54</v>
      </c>
      <c r="L216" s="98">
        <v>20609</v>
      </c>
      <c r="M216" s="325" t="s">
        <v>349</v>
      </c>
      <c r="N216" s="316">
        <v>8375.2000000000007</v>
      </c>
      <c r="Q216" s="97">
        <v>3</v>
      </c>
      <c r="R216" s="112">
        <f t="shared" si="15"/>
        <v>232.61666666666667</v>
      </c>
      <c r="S216" s="111">
        <f t="shared" si="16"/>
        <v>8374.2000000000007</v>
      </c>
      <c r="T216" s="111">
        <f t="shared" si="18"/>
        <v>1</v>
      </c>
      <c r="W216" s="121">
        <f t="shared" si="17"/>
        <v>36</v>
      </c>
    </row>
    <row r="217" spans="2:23" s="97" customFormat="1" ht="78.75">
      <c r="B217" s="160" t="s">
        <v>402</v>
      </c>
      <c r="C217" s="98"/>
      <c r="D217" s="98"/>
      <c r="E217" s="98" t="s">
        <v>414</v>
      </c>
      <c r="F217" s="98" t="s">
        <v>400</v>
      </c>
      <c r="G217" s="159" t="str">
        <f t="shared" si="19"/>
        <v>27/12/2010</v>
      </c>
      <c r="H217" s="158">
        <v>27</v>
      </c>
      <c r="I217" s="158">
        <v>12</v>
      </c>
      <c r="J217" s="157">
        <v>2010</v>
      </c>
      <c r="K217" s="98" t="s">
        <v>54</v>
      </c>
      <c r="L217" s="98">
        <v>20609</v>
      </c>
      <c r="M217" s="325" t="s">
        <v>349</v>
      </c>
      <c r="N217" s="316">
        <v>8375.2000000000007</v>
      </c>
      <c r="Q217" s="97">
        <v>3</v>
      </c>
      <c r="R217" s="112">
        <f t="shared" si="15"/>
        <v>232.61666666666667</v>
      </c>
      <c r="S217" s="111">
        <f t="shared" si="16"/>
        <v>8374.2000000000007</v>
      </c>
      <c r="T217" s="111">
        <f t="shared" si="18"/>
        <v>1</v>
      </c>
      <c r="W217" s="121">
        <f t="shared" si="17"/>
        <v>36</v>
      </c>
    </row>
    <row r="218" spans="2:23" s="97" customFormat="1" ht="78.75">
      <c r="B218" s="160" t="s">
        <v>402</v>
      </c>
      <c r="C218" s="98"/>
      <c r="D218" s="98"/>
      <c r="E218" s="98" t="s">
        <v>413</v>
      </c>
      <c r="F218" s="98" t="s">
        <v>400</v>
      </c>
      <c r="G218" s="159" t="str">
        <f t="shared" si="19"/>
        <v>27/12/2010</v>
      </c>
      <c r="H218" s="158">
        <v>27</v>
      </c>
      <c r="I218" s="158">
        <v>12</v>
      </c>
      <c r="J218" s="157">
        <v>2010</v>
      </c>
      <c r="K218" s="98" t="s">
        <v>54</v>
      </c>
      <c r="L218" s="98">
        <v>20609</v>
      </c>
      <c r="M218" s="325" t="s">
        <v>349</v>
      </c>
      <c r="N218" s="316">
        <v>8375.2000000000007</v>
      </c>
      <c r="Q218" s="97">
        <v>3</v>
      </c>
      <c r="R218" s="112">
        <f t="shared" si="15"/>
        <v>232.61666666666667</v>
      </c>
      <c r="S218" s="111">
        <f t="shared" si="16"/>
        <v>8374.2000000000007</v>
      </c>
      <c r="T218" s="111">
        <f t="shared" si="18"/>
        <v>1</v>
      </c>
      <c r="W218" s="121">
        <f t="shared" si="17"/>
        <v>36</v>
      </c>
    </row>
    <row r="219" spans="2:23" s="97" customFormat="1" ht="78.75">
      <c r="B219" s="160" t="s">
        <v>402</v>
      </c>
      <c r="C219" s="98"/>
      <c r="D219" s="98"/>
      <c r="E219" s="98" t="s">
        <v>412</v>
      </c>
      <c r="F219" s="98" t="s">
        <v>400</v>
      </c>
      <c r="G219" s="159" t="str">
        <f t="shared" si="19"/>
        <v>27/12/2010</v>
      </c>
      <c r="H219" s="158">
        <v>27</v>
      </c>
      <c r="I219" s="158">
        <v>12</v>
      </c>
      <c r="J219" s="157">
        <v>2010</v>
      </c>
      <c r="K219" s="98" t="s">
        <v>54</v>
      </c>
      <c r="L219" s="98">
        <v>20609</v>
      </c>
      <c r="M219" s="325" t="s">
        <v>349</v>
      </c>
      <c r="N219" s="316">
        <v>8375.2000000000007</v>
      </c>
      <c r="Q219" s="97">
        <v>3</v>
      </c>
      <c r="R219" s="112">
        <f t="shared" si="15"/>
        <v>232.61666666666667</v>
      </c>
      <c r="S219" s="111">
        <f t="shared" si="16"/>
        <v>8374.2000000000007</v>
      </c>
      <c r="T219" s="111">
        <f t="shared" si="18"/>
        <v>1</v>
      </c>
      <c r="W219" s="121">
        <f t="shared" si="17"/>
        <v>36</v>
      </c>
    </row>
    <row r="220" spans="2:23" s="97" customFormat="1" ht="78.75">
      <c r="B220" s="160" t="s">
        <v>402</v>
      </c>
      <c r="C220" s="98"/>
      <c r="D220" s="98"/>
      <c r="E220" s="98" t="s">
        <v>411</v>
      </c>
      <c r="F220" s="98" t="s">
        <v>400</v>
      </c>
      <c r="G220" s="159" t="str">
        <f t="shared" si="19"/>
        <v>27/12/2010</v>
      </c>
      <c r="H220" s="158">
        <v>27</v>
      </c>
      <c r="I220" s="158">
        <v>12</v>
      </c>
      <c r="J220" s="157">
        <v>2010</v>
      </c>
      <c r="K220" s="98" t="s">
        <v>54</v>
      </c>
      <c r="L220" s="98">
        <v>20609</v>
      </c>
      <c r="M220" s="325" t="s">
        <v>349</v>
      </c>
      <c r="N220" s="316">
        <v>8375.2000000000007</v>
      </c>
      <c r="Q220" s="97">
        <v>3</v>
      </c>
      <c r="R220" s="112">
        <f t="shared" si="15"/>
        <v>232.61666666666667</v>
      </c>
      <c r="S220" s="111">
        <f t="shared" si="16"/>
        <v>8374.2000000000007</v>
      </c>
      <c r="T220" s="111">
        <f t="shared" si="18"/>
        <v>1</v>
      </c>
      <c r="W220" s="121">
        <f t="shared" si="17"/>
        <v>36</v>
      </c>
    </row>
    <row r="221" spans="2:23" s="97" customFormat="1" ht="78.75">
      <c r="B221" s="160" t="s">
        <v>402</v>
      </c>
      <c r="C221" s="98"/>
      <c r="D221" s="98"/>
      <c r="E221" s="98" t="s">
        <v>410</v>
      </c>
      <c r="F221" s="98" t="s">
        <v>400</v>
      </c>
      <c r="G221" s="159" t="str">
        <f t="shared" si="19"/>
        <v>27/12/2010</v>
      </c>
      <c r="H221" s="158">
        <v>27</v>
      </c>
      <c r="I221" s="158">
        <v>12</v>
      </c>
      <c r="J221" s="157">
        <v>2010</v>
      </c>
      <c r="K221" s="98" t="s">
        <v>54</v>
      </c>
      <c r="L221" s="98">
        <v>20609</v>
      </c>
      <c r="M221" s="325" t="s">
        <v>349</v>
      </c>
      <c r="N221" s="316">
        <v>8375.2000000000007</v>
      </c>
      <c r="Q221" s="97">
        <v>3</v>
      </c>
      <c r="R221" s="112">
        <f t="shared" si="15"/>
        <v>232.61666666666667</v>
      </c>
      <c r="S221" s="111">
        <f t="shared" si="16"/>
        <v>8374.2000000000007</v>
      </c>
      <c r="T221" s="111">
        <f t="shared" si="18"/>
        <v>1</v>
      </c>
      <c r="W221" s="121">
        <f t="shared" si="17"/>
        <v>36</v>
      </c>
    </row>
    <row r="222" spans="2:23" s="97" customFormat="1" ht="78.75">
      <c r="B222" s="160" t="s">
        <v>402</v>
      </c>
      <c r="C222" s="98"/>
      <c r="D222" s="98"/>
      <c r="E222" s="98" t="s">
        <v>409</v>
      </c>
      <c r="F222" s="98" t="s">
        <v>400</v>
      </c>
      <c r="G222" s="159" t="str">
        <f t="shared" si="19"/>
        <v>27/12/2010</v>
      </c>
      <c r="H222" s="158">
        <v>27</v>
      </c>
      <c r="I222" s="158">
        <v>12</v>
      </c>
      <c r="J222" s="157">
        <v>2010</v>
      </c>
      <c r="K222" s="98" t="s">
        <v>54</v>
      </c>
      <c r="L222" s="98">
        <v>20609</v>
      </c>
      <c r="M222" s="325" t="s">
        <v>349</v>
      </c>
      <c r="N222" s="316">
        <v>8375.2000000000007</v>
      </c>
      <c r="Q222" s="97">
        <v>3</v>
      </c>
      <c r="R222" s="112">
        <f t="shared" si="15"/>
        <v>232.61666666666667</v>
      </c>
      <c r="S222" s="111">
        <f t="shared" si="16"/>
        <v>8374.2000000000007</v>
      </c>
      <c r="T222" s="111">
        <f t="shared" si="18"/>
        <v>1</v>
      </c>
      <c r="W222" s="121">
        <f t="shared" si="17"/>
        <v>36</v>
      </c>
    </row>
    <row r="223" spans="2:23" s="97" customFormat="1" ht="78.75">
      <c r="B223" s="160" t="s">
        <v>402</v>
      </c>
      <c r="C223" s="98"/>
      <c r="D223" s="98"/>
      <c r="E223" s="98" t="s">
        <v>408</v>
      </c>
      <c r="F223" s="98" t="s">
        <v>400</v>
      </c>
      <c r="G223" s="159" t="str">
        <f t="shared" si="19"/>
        <v>27/12/2010</v>
      </c>
      <c r="H223" s="158">
        <v>27</v>
      </c>
      <c r="I223" s="158">
        <v>12</v>
      </c>
      <c r="J223" s="157">
        <v>2010</v>
      </c>
      <c r="K223" s="98" t="s">
        <v>54</v>
      </c>
      <c r="L223" s="98">
        <v>20609</v>
      </c>
      <c r="M223" s="325" t="s">
        <v>349</v>
      </c>
      <c r="N223" s="316">
        <v>8375.2000000000007</v>
      </c>
      <c r="Q223" s="97">
        <v>3</v>
      </c>
      <c r="R223" s="112">
        <f t="shared" si="15"/>
        <v>232.61666666666667</v>
      </c>
      <c r="S223" s="111">
        <f t="shared" si="16"/>
        <v>8374.2000000000007</v>
      </c>
      <c r="T223" s="111">
        <f t="shared" si="18"/>
        <v>1</v>
      </c>
      <c r="W223" s="121">
        <f t="shared" si="17"/>
        <v>36</v>
      </c>
    </row>
    <row r="224" spans="2:23" s="97" customFormat="1" ht="78.75">
      <c r="B224" s="160" t="s">
        <v>402</v>
      </c>
      <c r="C224" s="98"/>
      <c r="D224" s="98"/>
      <c r="E224" s="98" t="s">
        <v>407</v>
      </c>
      <c r="F224" s="98" t="s">
        <v>400</v>
      </c>
      <c r="G224" s="159" t="str">
        <f t="shared" si="19"/>
        <v>27/12/2010</v>
      </c>
      <c r="H224" s="158">
        <v>27</v>
      </c>
      <c r="I224" s="158">
        <v>12</v>
      </c>
      <c r="J224" s="157">
        <v>2010</v>
      </c>
      <c r="K224" s="98" t="s">
        <v>54</v>
      </c>
      <c r="L224" s="98">
        <v>20609</v>
      </c>
      <c r="M224" s="325" t="s">
        <v>349</v>
      </c>
      <c r="N224" s="316">
        <v>8375.2000000000007</v>
      </c>
      <c r="Q224" s="97">
        <v>3</v>
      </c>
      <c r="R224" s="112">
        <f t="shared" si="15"/>
        <v>232.61666666666667</v>
      </c>
      <c r="S224" s="111">
        <f t="shared" si="16"/>
        <v>8374.2000000000007</v>
      </c>
      <c r="T224" s="111">
        <f t="shared" si="18"/>
        <v>1</v>
      </c>
      <c r="W224" s="121">
        <f t="shared" si="17"/>
        <v>36</v>
      </c>
    </row>
    <row r="225" spans="1:23" ht="78.75">
      <c r="A225" s="97"/>
      <c r="B225" s="160" t="s">
        <v>402</v>
      </c>
      <c r="E225" s="98" t="s">
        <v>406</v>
      </c>
      <c r="F225" s="98" t="s">
        <v>400</v>
      </c>
      <c r="G225" s="159" t="str">
        <f t="shared" si="19"/>
        <v>27/12/2010</v>
      </c>
      <c r="H225" s="158">
        <v>27</v>
      </c>
      <c r="I225" s="158">
        <v>12</v>
      </c>
      <c r="J225" s="157">
        <v>2010</v>
      </c>
      <c r="K225" s="98" t="s">
        <v>54</v>
      </c>
      <c r="L225" s="98">
        <v>20609</v>
      </c>
      <c r="M225" s="325" t="s">
        <v>349</v>
      </c>
      <c r="N225" s="316">
        <v>8375.2000000000007</v>
      </c>
      <c r="Q225" s="97">
        <v>3</v>
      </c>
      <c r="R225" s="112">
        <f t="shared" si="15"/>
        <v>232.61666666666667</v>
      </c>
      <c r="S225" s="111">
        <f t="shared" si="16"/>
        <v>8374.2000000000007</v>
      </c>
      <c r="T225" s="111">
        <f t="shared" si="18"/>
        <v>1</v>
      </c>
      <c r="W225" s="121">
        <f t="shared" si="17"/>
        <v>36</v>
      </c>
    </row>
    <row r="226" spans="1:23" ht="78.75">
      <c r="A226" s="97"/>
      <c r="B226" s="160" t="s">
        <v>402</v>
      </c>
      <c r="E226" s="98" t="s">
        <v>405</v>
      </c>
      <c r="F226" s="98" t="s">
        <v>400</v>
      </c>
      <c r="G226" s="159" t="str">
        <f t="shared" si="19"/>
        <v>27/12/2010</v>
      </c>
      <c r="H226" s="158">
        <v>27</v>
      </c>
      <c r="I226" s="158">
        <v>12</v>
      </c>
      <c r="J226" s="157">
        <v>2010</v>
      </c>
      <c r="K226" s="98" t="s">
        <v>54</v>
      </c>
      <c r="L226" s="98">
        <v>20609</v>
      </c>
      <c r="M226" s="325" t="s">
        <v>349</v>
      </c>
      <c r="N226" s="316">
        <v>8375.2000000000007</v>
      </c>
      <c r="Q226" s="97">
        <v>3</v>
      </c>
      <c r="R226" s="112">
        <f t="shared" si="15"/>
        <v>232.61666666666667</v>
      </c>
      <c r="S226" s="111">
        <f t="shared" si="16"/>
        <v>8374.2000000000007</v>
      </c>
      <c r="T226" s="111">
        <f t="shared" si="18"/>
        <v>1</v>
      </c>
      <c r="W226" s="121">
        <f t="shared" si="17"/>
        <v>36</v>
      </c>
    </row>
    <row r="227" spans="1:23" ht="78.75">
      <c r="A227" s="97"/>
      <c r="B227" s="160" t="s">
        <v>402</v>
      </c>
      <c r="E227" s="98" t="s">
        <v>404</v>
      </c>
      <c r="F227" s="98" t="s">
        <v>400</v>
      </c>
      <c r="G227" s="159" t="str">
        <f t="shared" si="19"/>
        <v>27/12/2010</v>
      </c>
      <c r="H227" s="158">
        <v>27</v>
      </c>
      <c r="I227" s="158">
        <v>12</v>
      </c>
      <c r="J227" s="157">
        <v>2010</v>
      </c>
      <c r="K227" s="98" t="s">
        <v>54</v>
      </c>
      <c r="L227" s="98">
        <v>20609</v>
      </c>
      <c r="M227" s="325" t="s">
        <v>349</v>
      </c>
      <c r="N227" s="316">
        <v>8375.2000000000007</v>
      </c>
      <c r="Q227" s="97">
        <v>3</v>
      </c>
      <c r="R227" s="112">
        <f t="shared" si="15"/>
        <v>232.61666666666667</v>
      </c>
      <c r="S227" s="111">
        <f t="shared" si="16"/>
        <v>8374.2000000000007</v>
      </c>
      <c r="T227" s="111">
        <f t="shared" si="18"/>
        <v>1</v>
      </c>
      <c r="W227" s="121">
        <f t="shared" si="17"/>
        <v>36</v>
      </c>
    </row>
    <row r="228" spans="1:23" ht="78.75">
      <c r="A228" s="97"/>
      <c r="B228" s="160" t="s">
        <v>402</v>
      </c>
      <c r="E228" s="98" t="s">
        <v>403</v>
      </c>
      <c r="F228" s="98" t="s">
        <v>400</v>
      </c>
      <c r="G228" s="159" t="str">
        <f t="shared" si="19"/>
        <v>27/12/2010</v>
      </c>
      <c r="H228" s="158">
        <v>27</v>
      </c>
      <c r="I228" s="158">
        <v>12</v>
      </c>
      <c r="J228" s="157">
        <v>2010</v>
      </c>
      <c r="K228" s="98" t="s">
        <v>54</v>
      </c>
      <c r="L228" s="98">
        <v>20609</v>
      </c>
      <c r="M228" s="325" t="s">
        <v>349</v>
      </c>
      <c r="N228" s="316">
        <v>8375.2000000000007</v>
      </c>
      <c r="Q228" s="97">
        <v>3</v>
      </c>
      <c r="R228" s="112">
        <f t="shared" si="15"/>
        <v>232.61666666666667</v>
      </c>
      <c r="S228" s="111">
        <f t="shared" si="16"/>
        <v>8374.2000000000007</v>
      </c>
      <c r="T228" s="111">
        <f t="shared" si="18"/>
        <v>1</v>
      </c>
      <c r="W228" s="121">
        <f t="shared" si="17"/>
        <v>36</v>
      </c>
    </row>
    <row r="229" spans="1:23" ht="78.75">
      <c r="A229" s="97"/>
      <c r="B229" s="160" t="s">
        <v>402</v>
      </c>
      <c r="E229" s="98" t="s">
        <v>401</v>
      </c>
      <c r="F229" s="98" t="s">
        <v>400</v>
      </c>
      <c r="G229" s="159" t="str">
        <f t="shared" si="19"/>
        <v>27/12/2010</v>
      </c>
      <c r="H229" s="158">
        <v>27</v>
      </c>
      <c r="I229" s="158">
        <v>12</v>
      </c>
      <c r="J229" s="157">
        <v>2010</v>
      </c>
      <c r="K229" s="98" t="s">
        <v>54</v>
      </c>
      <c r="L229" s="98">
        <v>20609</v>
      </c>
      <c r="M229" s="325" t="s">
        <v>349</v>
      </c>
      <c r="N229" s="316">
        <v>8375.2000000000007</v>
      </c>
      <c r="Q229" s="97">
        <v>3</v>
      </c>
      <c r="R229" s="112">
        <f t="shared" si="15"/>
        <v>232.61666666666667</v>
      </c>
      <c r="S229" s="111">
        <f t="shared" si="16"/>
        <v>8374.2000000000007</v>
      </c>
      <c r="T229" s="111">
        <f t="shared" si="18"/>
        <v>1</v>
      </c>
      <c r="W229" s="121">
        <f t="shared" si="17"/>
        <v>36</v>
      </c>
    </row>
    <row r="230" spans="1:23" ht="31.5">
      <c r="A230" s="97"/>
      <c r="B230" s="160" t="s">
        <v>399</v>
      </c>
      <c r="C230" s="98" t="s">
        <v>398</v>
      </c>
      <c r="D230" s="98" t="s">
        <v>397</v>
      </c>
      <c r="F230" s="98" t="s">
        <v>396</v>
      </c>
      <c r="G230" s="159" t="str">
        <f t="shared" si="19"/>
        <v>7/12/2010</v>
      </c>
      <c r="H230" s="158">
        <v>7</v>
      </c>
      <c r="I230" s="158">
        <v>12</v>
      </c>
      <c r="J230" s="157">
        <v>2010</v>
      </c>
      <c r="K230" s="98" t="s">
        <v>54</v>
      </c>
      <c r="L230" s="98" t="s">
        <v>395</v>
      </c>
      <c r="M230" s="325" t="s">
        <v>349</v>
      </c>
      <c r="N230" s="316">
        <v>5782.6</v>
      </c>
      <c r="P230" s="161"/>
      <c r="Q230" s="97">
        <v>3</v>
      </c>
      <c r="R230" s="112">
        <f t="shared" si="15"/>
        <v>160.6</v>
      </c>
      <c r="S230" s="111">
        <f t="shared" si="16"/>
        <v>5781.5999999999995</v>
      </c>
      <c r="T230" s="111">
        <f t="shared" si="18"/>
        <v>1.0000000000009095</v>
      </c>
      <c r="W230" s="121">
        <f t="shared" si="17"/>
        <v>36</v>
      </c>
    </row>
    <row r="231" spans="1:23" ht="31.5">
      <c r="A231" s="97"/>
      <c r="B231" s="160" t="s">
        <v>399</v>
      </c>
      <c r="C231" s="98" t="s">
        <v>398</v>
      </c>
      <c r="D231" s="98" t="s">
        <v>397</v>
      </c>
      <c r="F231" s="98" t="s">
        <v>396</v>
      </c>
      <c r="G231" s="159" t="str">
        <f t="shared" si="19"/>
        <v>7/12/2010</v>
      </c>
      <c r="H231" s="158">
        <v>7</v>
      </c>
      <c r="I231" s="158">
        <v>12</v>
      </c>
      <c r="J231" s="157">
        <v>2010</v>
      </c>
      <c r="K231" s="98" t="s">
        <v>54</v>
      </c>
      <c r="L231" s="98" t="s">
        <v>395</v>
      </c>
      <c r="M231" s="325" t="s">
        <v>349</v>
      </c>
      <c r="N231" s="316">
        <v>5782.6</v>
      </c>
      <c r="Q231" s="97">
        <v>3</v>
      </c>
      <c r="R231" s="112">
        <f t="shared" si="15"/>
        <v>160.6</v>
      </c>
      <c r="S231" s="111">
        <f t="shared" si="16"/>
        <v>5781.5999999999995</v>
      </c>
      <c r="T231" s="111">
        <f t="shared" si="18"/>
        <v>1.0000000000009095</v>
      </c>
      <c r="W231" s="121">
        <f t="shared" si="17"/>
        <v>36</v>
      </c>
    </row>
    <row r="232" spans="1:23" ht="63">
      <c r="B232" s="147" t="s">
        <v>393</v>
      </c>
      <c r="E232" s="140"/>
      <c r="F232" s="131" t="s">
        <v>392</v>
      </c>
      <c r="G232" s="132">
        <v>40569</v>
      </c>
      <c r="H232" s="114">
        <v>26</v>
      </c>
      <c r="I232" s="114">
        <v>1</v>
      </c>
      <c r="J232" s="113">
        <v>2011</v>
      </c>
      <c r="K232" s="98" t="s">
        <v>351</v>
      </c>
      <c r="L232" s="131" t="s">
        <v>391</v>
      </c>
      <c r="M232" s="98" t="s">
        <v>349</v>
      </c>
      <c r="N232" s="130">
        <v>518716.74</v>
      </c>
      <c r="Q232" s="109">
        <v>3</v>
      </c>
      <c r="R232" s="112">
        <f t="shared" ref="R232:R247" si="20">(((N232)-1)/3)/12</f>
        <v>14408.770555555557</v>
      </c>
      <c r="S232" s="111">
        <f t="shared" si="16"/>
        <v>518715.74000000005</v>
      </c>
      <c r="T232" s="111">
        <f t="shared" ref="T232:T247" si="21">N232-S232</f>
        <v>0.99999999994179234</v>
      </c>
      <c r="U232" s="145">
        <v>15086</v>
      </c>
      <c r="W232" s="121">
        <f t="shared" si="17"/>
        <v>36</v>
      </c>
    </row>
    <row r="233" spans="1:23">
      <c r="A233" s="97"/>
      <c r="B233" s="128" t="s">
        <v>390</v>
      </c>
      <c r="E233" s="148" t="s">
        <v>389</v>
      </c>
      <c r="F233" s="131" t="s">
        <v>356</v>
      </c>
      <c r="G233" s="139">
        <v>40596</v>
      </c>
      <c r="H233" s="114">
        <v>22</v>
      </c>
      <c r="I233" s="114">
        <v>2</v>
      </c>
      <c r="J233" s="113">
        <v>2011</v>
      </c>
      <c r="K233" s="98" t="s">
        <v>351</v>
      </c>
      <c r="L233" s="131" t="s">
        <v>388</v>
      </c>
      <c r="M233" s="98" t="s">
        <v>349</v>
      </c>
      <c r="N233" s="134">
        <f>5219.83+835.17</f>
        <v>6055</v>
      </c>
      <c r="Q233" s="109">
        <v>3</v>
      </c>
      <c r="R233" s="112">
        <f t="shared" si="20"/>
        <v>168.16666666666666</v>
      </c>
      <c r="S233" s="111">
        <f t="shared" si="16"/>
        <v>6054</v>
      </c>
      <c r="T233" s="111">
        <f t="shared" si="21"/>
        <v>1</v>
      </c>
      <c r="U233" s="145">
        <v>15161</v>
      </c>
      <c r="W233" s="121">
        <f t="shared" si="17"/>
        <v>36</v>
      </c>
    </row>
    <row r="234" spans="1:23">
      <c r="B234" s="136" t="s">
        <v>387</v>
      </c>
      <c r="E234" s="140"/>
      <c r="F234" s="138" t="s">
        <v>89</v>
      </c>
      <c r="G234" s="135">
        <v>40634</v>
      </c>
      <c r="H234" s="114">
        <v>1</v>
      </c>
      <c r="I234" s="114">
        <v>4</v>
      </c>
      <c r="J234" s="113">
        <v>2011</v>
      </c>
      <c r="K234" s="98" t="s">
        <v>351</v>
      </c>
      <c r="L234" s="131" t="s">
        <v>386</v>
      </c>
      <c r="M234" s="98" t="s">
        <v>349</v>
      </c>
      <c r="N234" s="137">
        <v>3995</v>
      </c>
      <c r="Q234" s="109">
        <v>3</v>
      </c>
      <c r="R234" s="112">
        <f t="shared" si="20"/>
        <v>110.94444444444444</v>
      </c>
      <c r="S234" s="111">
        <f t="shared" si="16"/>
        <v>3994</v>
      </c>
      <c r="T234" s="111">
        <f t="shared" si="21"/>
        <v>1</v>
      </c>
      <c r="U234" s="294">
        <v>15408</v>
      </c>
      <c r="W234" s="121">
        <f t="shared" si="17"/>
        <v>36</v>
      </c>
    </row>
    <row r="235" spans="1:23">
      <c r="A235" s="97"/>
      <c r="B235" s="136" t="s">
        <v>385</v>
      </c>
      <c r="C235" s="97"/>
      <c r="D235" s="97"/>
      <c r="E235" s="140" t="s">
        <v>384</v>
      </c>
      <c r="F235" s="138" t="s">
        <v>356</v>
      </c>
      <c r="G235" s="135">
        <v>40630</v>
      </c>
      <c r="H235" s="97">
        <v>28</v>
      </c>
      <c r="I235" s="97">
        <v>3</v>
      </c>
      <c r="J235" s="113">
        <v>2011</v>
      </c>
      <c r="K235" s="98" t="s">
        <v>351</v>
      </c>
      <c r="L235" s="131" t="s">
        <v>383</v>
      </c>
      <c r="M235" s="98" t="s">
        <v>349</v>
      </c>
      <c r="N235" s="137">
        <v>9630</v>
      </c>
      <c r="Q235" s="109">
        <v>3</v>
      </c>
      <c r="R235" s="112">
        <f t="shared" si="20"/>
        <v>267.47222222222223</v>
      </c>
      <c r="S235" s="111">
        <f t="shared" si="16"/>
        <v>9629</v>
      </c>
      <c r="T235" s="111">
        <f t="shared" si="21"/>
        <v>1</v>
      </c>
      <c r="U235" s="294">
        <v>15440</v>
      </c>
      <c r="W235" s="121">
        <f t="shared" si="17"/>
        <v>36</v>
      </c>
    </row>
    <row r="236" spans="1:23" ht="47.25">
      <c r="A236" s="97"/>
      <c r="B236" s="147" t="s">
        <v>382</v>
      </c>
      <c r="C236" s="97"/>
      <c r="D236" s="97"/>
      <c r="E236" s="140"/>
      <c r="F236" s="138" t="s">
        <v>381</v>
      </c>
      <c r="G236" s="135">
        <v>40666</v>
      </c>
      <c r="H236" s="97">
        <v>3</v>
      </c>
      <c r="I236" s="97">
        <v>5</v>
      </c>
      <c r="J236" s="113">
        <v>2011</v>
      </c>
      <c r="K236" s="98" t="s">
        <v>351</v>
      </c>
      <c r="L236" s="131" t="s">
        <v>380</v>
      </c>
      <c r="M236" s="98" t="s">
        <v>349</v>
      </c>
      <c r="N236" s="137">
        <v>87115.66</v>
      </c>
      <c r="Q236" s="109">
        <v>3</v>
      </c>
      <c r="R236" s="112">
        <f t="shared" si="20"/>
        <v>2419.8516666666669</v>
      </c>
      <c r="S236" s="111">
        <f t="shared" si="16"/>
        <v>84694.808333333349</v>
      </c>
      <c r="T236" s="111">
        <f t="shared" si="21"/>
        <v>2420.8516666666546</v>
      </c>
      <c r="U236" s="294">
        <v>15422</v>
      </c>
      <c r="W236" s="121">
        <f t="shared" si="17"/>
        <v>35</v>
      </c>
    </row>
    <row r="237" spans="1:23">
      <c r="B237" s="136" t="s">
        <v>379</v>
      </c>
      <c r="E237" s="140"/>
      <c r="F237" s="131" t="s">
        <v>352</v>
      </c>
      <c r="G237" s="139">
        <v>40668</v>
      </c>
      <c r="H237" s="114">
        <v>5</v>
      </c>
      <c r="I237" s="114">
        <v>5</v>
      </c>
      <c r="J237" s="113">
        <v>2011</v>
      </c>
      <c r="K237" s="98" t="s">
        <v>351</v>
      </c>
      <c r="L237" s="131" t="s">
        <v>378</v>
      </c>
      <c r="M237" s="98" t="s">
        <v>349</v>
      </c>
      <c r="N237" s="137">
        <v>9216.2000000000007</v>
      </c>
      <c r="Q237" s="109">
        <v>3</v>
      </c>
      <c r="R237" s="112">
        <f t="shared" si="20"/>
        <v>255.97777777777779</v>
      </c>
      <c r="S237" s="111">
        <f t="shared" si="16"/>
        <v>8959.2222222222226</v>
      </c>
      <c r="T237" s="111">
        <f t="shared" si="21"/>
        <v>256.9777777777781</v>
      </c>
      <c r="U237" s="145">
        <v>15499</v>
      </c>
      <c r="W237" s="121">
        <f t="shared" si="17"/>
        <v>35</v>
      </c>
    </row>
    <row r="238" spans="1:23" ht="47.25">
      <c r="A238" s="97"/>
      <c r="B238" s="128" t="s">
        <v>377</v>
      </c>
      <c r="C238" s="97"/>
      <c r="D238" s="97"/>
      <c r="E238" s="140"/>
      <c r="F238" s="131" t="s">
        <v>366</v>
      </c>
      <c r="G238" s="146">
        <v>40668</v>
      </c>
      <c r="H238" s="97">
        <v>5</v>
      </c>
      <c r="I238" s="97">
        <v>5</v>
      </c>
      <c r="J238" s="113">
        <v>2011</v>
      </c>
      <c r="K238" s="98" t="s">
        <v>351</v>
      </c>
      <c r="L238" s="131" t="s">
        <v>376</v>
      </c>
      <c r="M238" s="98" t="s">
        <v>349</v>
      </c>
      <c r="N238" s="134">
        <v>38865.800000000003</v>
      </c>
      <c r="Q238" s="109">
        <v>3</v>
      </c>
      <c r="R238" s="112">
        <f t="shared" si="20"/>
        <v>1079.5777777777778</v>
      </c>
      <c r="S238" s="111">
        <f t="shared" si="16"/>
        <v>37785.222222222219</v>
      </c>
      <c r="T238" s="111">
        <f t="shared" si="21"/>
        <v>1080.5777777777839</v>
      </c>
      <c r="U238" s="145">
        <v>15498</v>
      </c>
      <c r="W238" s="121">
        <f t="shared" si="17"/>
        <v>35</v>
      </c>
    </row>
    <row r="239" spans="1:23" ht="78.75">
      <c r="B239" s="125" t="s">
        <v>375</v>
      </c>
      <c r="E239" s="144" t="s">
        <v>374</v>
      </c>
      <c r="F239" s="125" t="s">
        <v>352</v>
      </c>
      <c r="G239" s="143">
        <v>40681</v>
      </c>
      <c r="H239" s="114">
        <v>18</v>
      </c>
      <c r="I239" s="114">
        <v>5</v>
      </c>
      <c r="J239" s="113">
        <v>2011</v>
      </c>
      <c r="K239" s="98" t="s">
        <v>351</v>
      </c>
      <c r="L239" s="125" t="s">
        <v>370</v>
      </c>
      <c r="M239" s="98" t="s">
        <v>349</v>
      </c>
      <c r="N239" s="142">
        <v>91263</v>
      </c>
      <c r="Q239" s="109">
        <v>3</v>
      </c>
      <c r="R239" s="112">
        <f t="shared" si="20"/>
        <v>2535.0555555555557</v>
      </c>
      <c r="S239" s="111">
        <f t="shared" si="16"/>
        <v>88726.944444444453</v>
      </c>
      <c r="T239" s="111">
        <f t="shared" si="21"/>
        <v>2536.0555555555475</v>
      </c>
      <c r="U239" s="141">
        <v>15551</v>
      </c>
      <c r="W239" s="121">
        <f t="shared" si="17"/>
        <v>35</v>
      </c>
    </row>
    <row r="240" spans="1:23">
      <c r="B240" s="136" t="s">
        <v>373</v>
      </c>
      <c r="E240" s="140" t="s">
        <v>372</v>
      </c>
      <c r="F240" s="131" t="s">
        <v>352</v>
      </c>
      <c r="G240" s="139">
        <v>40681</v>
      </c>
      <c r="H240" s="114">
        <v>18</v>
      </c>
      <c r="I240" s="114">
        <v>5</v>
      </c>
      <c r="J240" s="113">
        <v>2011</v>
      </c>
      <c r="K240" s="98" t="s">
        <v>351</v>
      </c>
      <c r="L240" s="138" t="s">
        <v>370</v>
      </c>
      <c r="M240" s="98" t="s">
        <v>349</v>
      </c>
      <c r="N240" s="137">
        <v>17552.2</v>
      </c>
      <c r="Q240" s="109">
        <v>3</v>
      </c>
      <c r="R240" s="112">
        <f t="shared" si="20"/>
        <v>487.53333333333336</v>
      </c>
      <c r="S240" s="111">
        <f t="shared" si="16"/>
        <v>17063.666666666668</v>
      </c>
      <c r="T240" s="111">
        <f t="shared" si="21"/>
        <v>488.53333333333285</v>
      </c>
      <c r="U240" s="294">
        <v>15551</v>
      </c>
      <c r="W240" s="121">
        <f t="shared" si="17"/>
        <v>35</v>
      </c>
    </row>
    <row r="241" spans="1:23">
      <c r="B241" s="136" t="s">
        <v>371</v>
      </c>
      <c r="E241" s="136"/>
      <c r="F241" s="138" t="s">
        <v>352</v>
      </c>
      <c r="G241" s="135">
        <v>40681</v>
      </c>
      <c r="H241" s="114">
        <v>18</v>
      </c>
      <c r="I241" s="114">
        <v>5</v>
      </c>
      <c r="J241" s="113">
        <v>2011</v>
      </c>
      <c r="K241" s="98" t="s">
        <v>351</v>
      </c>
      <c r="L241" s="138" t="s">
        <v>370</v>
      </c>
      <c r="M241" s="98" t="s">
        <v>349</v>
      </c>
      <c r="N241" s="137">
        <v>67099.02</v>
      </c>
      <c r="Q241" s="109">
        <v>3</v>
      </c>
      <c r="R241" s="112">
        <f t="shared" si="20"/>
        <v>1863.8338888888891</v>
      </c>
      <c r="S241" s="111">
        <f t="shared" si="16"/>
        <v>65234.186111111121</v>
      </c>
      <c r="T241" s="111">
        <f t="shared" si="21"/>
        <v>1864.8338888888829</v>
      </c>
      <c r="U241" s="294">
        <v>15551</v>
      </c>
      <c r="W241" s="121">
        <f t="shared" si="17"/>
        <v>35</v>
      </c>
    </row>
    <row r="242" spans="1:23">
      <c r="B242" s="136" t="s">
        <v>369</v>
      </c>
      <c r="E242" s="136"/>
      <c r="F242" s="138" t="s">
        <v>89</v>
      </c>
      <c r="G242" s="135">
        <v>40766</v>
      </c>
      <c r="H242" s="114">
        <v>11</v>
      </c>
      <c r="I242" s="114">
        <v>8</v>
      </c>
      <c r="J242" s="113">
        <v>2011</v>
      </c>
      <c r="K242" s="98" t="s">
        <v>351</v>
      </c>
      <c r="L242" s="131" t="s">
        <v>368</v>
      </c>
      <c r="M242" s="98" t="s">
        <v>349</v>
      </c>
      <c r="N242" s="137">
        <v>5995</v>
      </c>
      <c r="Q242" s="109">
        <v>3</v>
      </c>
      <c r="R242" s="112">
        <f t="shared" si="20"/>
        <v>166.5</v>
      </c>
      <c r="S242" s="111">
        <f t="shared" si="16"/>
        <v>5328</v>
      </c>
      <c r="T242" s="111">
        <f t="shared" si="21"/>
        <v>667</v>
      </c>
      <c r="U242" s="129">
        <v>15922</v>
      </c>
      <c r="W242" s="121">
        <f t="shared" si="17"/>
        <v>32</v>
      </c>
    </row>
    <row r="243" spans="1:23" ht="31.5">
      <c r="B243" s="125" t="s">
        <v>367</v>
      </c>
      <c r="E243" s="136"/>
      <c r="F243" s="138" t="s">
        <v>366</v>
      </c>
      <c r="G243" s="135">
        <v>40799</v>
      </c>
      <c r="H243" s="114">
        <v>13</v>
      </c>
      <c r="I243" s="114">
        <v>9</v>
      </c>
      <c r="J243" s="113">
        <v>2011</v>
      </c>
      <c r="K243" s="98" t="s">
        <v>351</v>
      </c>
      <c r="L243" s="131" t="s">
        <v>365</v>
      </c>
      <c r="M243" s="98" t="s">
        <v>349</v>
      </c>
      <c r="N243" s="134">
        <v>4704.96</v>
      </c>
      <c r="Q243" s="109">
        <v>3</v>
      </c>
      <c r="R243" s="112">
        <f t="shared" si="20"/>
        <v>130.66555555555556</v>
      </c>
      <c r="S243" s="111">
        <f t="shared" si="16"/>
        <v>4050.6322222222225</v>
      </c>
      <c r="T243" s="111">
        <f t="shared" si="21"/>
        <v>654.32777777777756</v>
      </c>
      <c r="U243" s="129">
        <v>16051</v>
      </c>
      <c r="W243" s="121">
        <f t="shared" si="17"/>
        <v>31</v>
      </c>
    </row>
    <row r="244" spans="1:23" ht="78.75">
      <c r="B244" s="128" t="s">
        <v>364</v>
      </c>
      <c r="E244" s="127" t="s">
        <v>363</v>
      </c>
      <c r="F244" s="128" t="s">
        <v>362</v>
      </c>
      <c r="G244" s="126">
        <v>40805</v>
      </c>
      <c r="H244" s="114">
        <v>19</v>
      </c>
      <c r="I244" s="114">
        <v>9</v>
      </c>
      <c r="J244" s="113">
        <v>2011</v>
      </c>
      <c r="K244" s="98" t="s">
        <v>351</v>
      </c>
      <c r="L244" s="125" t="s">
        <v>361</v>
      </c>
      <c r="M244" s="98" t="s">
        <v>349</v>
      </c>
      <c r="N244" s="124">
        <v>53940</v>
      </c>
      <c r="Q244" s="109">
        <v>3</v>
      </c>
      <c r="R244" s="112">
        <f t="shared" si="20"/>
        <v>1498.3055555555557</v>
      </c>
      <c r="S244" s="111">
        <f t="shared" si="16"/>
        <v>46447.472222222226</v>
      </c>
      <c r="T244" s="111">
        <f t="shared" si="21"/>
        <v>7492.5277777777737</v>
      </c>
      <c r="U244" s="123">
        <v>16110</v>
      </c>
      <c r="W244" s="121">
        <f t="shared" si="17"/>
        <v>31</v>
      </c>
    </row>
    <row r="245" spans="1:23">
      <c r="B245" s="128" t="s">
        <v>360</v>
      </c>
      <c r="E245" s="133" t="s">
        <v>359</v>
      </c>
      <c r="F245" s="138" t="s">
        <v>356</v>
      </c>
      <c r="G245" s="132">
        <v>40835</v>
      </c>
      <c r="H245" s="114">
        <v>19</v>
      </c>
      <c r="I245" s="114">
        <v>10</v>
      </c>
      <c r="J245" s="113">
        <v>2011</v>
      </c>
      <c r="K245" s="98" t="s">
        <v>351</v>
      </c>
      <c r="L245" s="131" t="s">
        <v>355</v>
      </c>
      <c r="M245" s="98" t="s">
        <v>349</v>
      </c>
      <c r="N245" s="130">
        <v>18425</v>
      </c>
      <c r="Q245" s="109">
        <v>3</v>
      </c>
      <c r="R245" s="112">
        <f t="shared" si="20"/>
        <v>511.77777777777777</v>
      </c>
      <c r="S245" s="111">
        <f t="shared" si="16"/>
        <v>15353.333333333334</v>
      </c>
      <c r="T245" s="111">
        <f t="shared" si="21"/>
        <v>3071.6666666666661</v>
      </c>
      <c r="U245" s="129">
        <v>16262</v>
      </c>
      <c r="W245" s="121">
        <f t="shared" si="17"/>
        <v>30</v>
      </c>
    </row>
    <row r="246" spans="1:23" ht="31.5">
      <c r="B246" s="128" t="s">
        <v>358</v>
      </c>
      <c r="E246" s="133" t="s">
        <v>357</v>
      </c>
      <c r="F246" s="138" t="s">
        <v>356</v>
      </c>
      <c r="G246" s="132">
        <v>40835</v>
      </c>
      <c r="H246" s="114">
        <v>19</v>
      </c>
      <c r="I246" s="114">
        <v>10</v>
      </c>
      <c r="J246" s="113">
        <v>2011</v>
      </c>
      <c r="K246" s="98" t="s">
        <v>351</v>
      </c>
      <c r="L246" s="131" t="s">
        <v>355</v>
      </c>
      <c r="M246" s="98" t="s">
        <v>349</v>
      </c>
      <c r="N246" s="130">
        <v>14550</v>
      </c>
      <c r="Q246" s="109">
        <v>3</v>
      </c>
      <c r="R246" s="112">
        <f t="shared" si="20"/>
        <v>404.13888888888891</v>
      </c>
      <c r="S246" s="111">
        <f t="shared" si="16"/>
        <v>12124.166666666668</v>
      </c>
      <c r="T246" s="111">
        <f t="shared" si="21"/>
        <v>2425.8333333333321</v>
      </c>
      <c r="U246" s="129">
        <v>16262</v>
      </c>
      <c r="W246" s="121">
        <f t="shared" si="17"/>
        <v>30</v>
      </c>
    </row>
    <row r="247" spans="1:23" ht="31.5">
      <c r="B247" s="128" t="s">
        <v>354</v>
      </c>
      <c r="E247" s="127" t="s">
        <v>353</v>
      </c>
      <c r="F247" s="128" t="s">
        <v>352</v>
      </c>
      <c r="G247" s="126">
        <v>40897</v>
      </c>
      <c r="H247" s="114">
        <v>20</v>
      </c>
      <c r="I247" s="114">
        <v>12</v>
      </c>
      <c r="J247" s="113">
        <v>2011</v>
      </c>
      <c r="K247" s="98" t="s">
        <v>351</v>
      </c>
      <c r="L247" s="125" t="s">
        <v>350</v>
      </c>
      <c r="M247" s="98" t="s">
        <v>349</v>
      </c>
      <c r="N247" s="124">
        <v>24296.2</v>
      </c>
      <c r="Q247" s="109">
        <v>3</v>
      </c>
      <c r="R247" s="112">
        <f t="shared" si="20"/>
        <v>674.86666666666667</v>
      </c>
      <c r="S247" s="111">
        <f t="shared" si="16"/>
        <v>18896.266666666666</v>
      </c>
      <c r="T247" s="111">
        <f t="shared" si="21"/>
        <v>5399.9333333333343</v>
      </c>
      <c r="U247" s="123">
        <v>16533</v>
      </c>
      <c r="W247" s="121">
        <f t="shared" si="17"/>
        <v>28</v>
      </c>
    </row>
    <row r="248" spans="1:23" s="149" customFormat="1">
      <c r="A248" s="149" t="s">
        <v>394</v>
      </c>
      <c r="B248" s="156"/>
      <c r="C248" s="153"/>
      <c r="D248" s="153"/>
      <c r="E248" s="153"/>
      <c r="F248" s="153"/>
      <c r="G248" s="153"/>
      <c r="H248" s="155"/>
      <c r="I248" s="155"/>
      <c r="J248" s="154"/>
      <c r="K248" s="153"/>
      <c r="L248" s="153"/>
      <c r="M248" s="327"/>
      <c r="N248" s="417">
        <v>2294001</v>
      </c>
      <c r="Q248" s="149">
        <v>3</v>
      </c>
      <c r="R248" s="152">
        <v>9059.76</v>
      </c>
      <c r="S248" s="151">
        <f>(N248)-1</f>
        <v>2294000</v>
      </c>
      <c r="T248" s="151">
        <f>+N248-S248</f>
        <v>1</v>
      </c>
      <c r="W248" s="150"/>
    </row>
    <row r="249" spans="1:23" s="96" customFormat="1" ht="16.5" thickBot="1">
      <c r="A249" s="118"/>
      <c r="B249" s="118"/>
      <c r="C249" s="118"/>
      <c r="D249" s="118"/>
      <c r="E249" s="118"/>
      <c r="F249" s="118"/>
      <c r="G249" s="118"/>
      <c r="H249" s="120"/>
      <c r="I249" s="120"/>
      <c r="J249" s="119"/>
      <c r="K249" s="118"/>
      <c r="L249" s="118"/>
      <c r="M249" s="118"/>
      <c r="N249" s="117">
        <f>SUM(N7:N248)</f>
        <v>12968818.559999987</v>
      </c>
      <c r="Q249" s="115"/>
      <c r="R249" s="117">
        <f>SUM(R7:R248)</f>
        <v>305575.77555555489</v>
      </c>
      <c r="S249" s="117">
        <f>SUM(S7:S248)</f>
        <v>12940229.441111099</v>
      </c>
      <c r="T249" s="117">
        <f>SUM(T7:T248)</f>
        <v>28589.118888889072</v>
      </c>
      <c r="W249" s="116"/>
    </row>
    <row r="250" spans="1:23" s="96" customFormat="1" ht="16.5" thickTop="1">
      <c r="A250" s="118"/>
      <c r="B250" s="118"/>
      <c r="C250" s="118"/>
      <c r="D250" s="118"/>
      <c r="E250" s="118"/>
      <c r="F250" s="118"/>
      <c r="G250" s="118"/>
      <c r="H250" s="120"/>
      <c r="I250" s="120"/>
      <c r="J250" s="119"/>
      <c r="K250" s="118"/>
      <c r="L250" s="118"/>
      <c r="M250" s="118"/>
      <c r="N250" s="385"/>
      <c r="Q250" s="115"/>
      <c r="R250" s="385"/>
      <c r="S250" s="385">
        <v>2277120.25</v>
      </c>
      <c r="T250" s="385"/>
      <c r="W250" s="116"/>
    </row>
    <row r="251" spans="1:23" s="96" customFormat="1">
      <c r="A251" s="118"/>
      <c r="B251" s="118"/>
      <c r="C251" s="118"/>
      <c r="D251" s="118"/>
      <c r="E251" s="118"/>
      <c r="F251" s="118"/>
      <c r="G251" s="118"/>
      <c r="H251" s="120"/>
      <c r="I251" s="120"/>
      <c r="J251" s="119"/>
      <c r="K251" s="118"/>
      <c r="L251" s="118"/>
      <c r="M251" s="118"/>
      <c r="N251" s="385"/>
      <c r="Q251" s="115"/>
      <c r="R251" s="385"/>
      <c r="S251" s="385"/>
      <c r="T251" s="385"/>
      <c r="W251" s="116"/>
    </row>
    <row r="252" spans="1:23">
      <c r="A252" s="97"/>
      <c r="B252" s="97" t="s">
        <v>2542</v>
      </c>
      <c r="C252" s="97" t="s">
        <v>2543</v>
      </c>
      <c r="D252" s="97" t="s">
        <v>2544</v>
      </c>
      <c r="E252" s="98" t="s">
        <v>2545</v>
      </c>
      <c r="F252" s="98" t="s">
        <v>2546</v>
      </c>
      <c r="G252" s="159">
        <v>41038</v>
      </c>
      <c r="H252" s="97">
        <v>21</v>
      </c>
      <c r="I252" s="97">
        <v>11</v>
      </c>
      <c r="J252" s="97">
        <v>2009</v>
      </c>
      <c r="K252" s="179" t="s">
        <v>54</v>
      </c>
      <c r="L252" s="98" t="s">
        <v>2547</v>
      </c>
      <c r="M252" s="98" t="s">
        <v>349</v>
      </c>
      <c r="N252" s="137">
        <v>5469</v>
      </c>
      <c r="Q252" s="97">
        <v>3</v>
      </c>
      <c r="R252" s="112">
        <f t="shared" ref="R252" si="22">(((N252)-1)/3)/12</f>
        <v>151.88888888888889</v>
      </c>
      <c r="S252" s="111">
        <f t="shared" ref="S252" si="23">R252*W252</f>
        <v>3493.4444444444443</v>
      </c>
      <c r="T252" s="111">
        <v>6344.04</v>
      </c>
      <c r="U252" s="97">
        <v>16966</v>
      </c>
      <c r="W252" s="121">
        <f t="shared" ref="W252" si="24">IF((DATEDIF(G252,W$4,"m"))&gt;=36,36,(DATEDIF(G252,W$4,"m")))</f>
        <v>23</v>
      </c>
    </row>
    <row r="253" spans="1:23">
      <c r="A253" s="97"/>
      <c r="B253" s="97" t="s">
        <v>2542</v>
      </c>
      <c r="C253" s="97" t="s">
        <v>2543</v>
      </c>
      <c r="D253" s="97" t="s">
        <v>2544</v>
      </c>
      <c r="E253" s="98" t="s">
        <v>2548</v>
      </c>
      <c r="F253" s="98" t="s">
        <v>2546</v>
      </c>
      <c r="G253" s="159">
        <v>41038</v>
      </c>
      <c r="H253" s="97">
        <v>21</v>
      </c>
      <c r="I253" s="97">
        <v>11</v>
      </c>
      <c r="J253" s="97">
        <v>2009</v>
      </c>
      <c r="K253" s="179" t="s">
        <v>54</v>
      </c>
      <c r="L253" s="98" t="s">
        <v>2547</v>
      </c>
      <c r="M253" s="98" t="s">
        <v>349</v>
      </c>
      <c r="N253" s="137">
        <v>5469</v>
      </c>
      <c r="Q253" s="97">
        <v>3</v>
      </c>
      <c r="R253" s="112">
        <f t="shared" ref="R253:R261" si="25">(((N253)-1)/3)/12</f>
        <v>151.88888888888889</v>
      </c>
      <c r="S253" s="111">
        <f t="shared" ref="S253:S261" si="26">R253*W253</f>
        <v>3493.4444444444443</v>
      </c>
      <c r="T253" s="111">
        <v>6344.04</v>
      </c>
      <c r="U253" s="97">
        <v>16966</v>
      </c>
      <c r="W253" s="121">
        <f t="shared" ref="W253:W261" si="27">IF((DATEDIF(G253,W$4,"m"))&gt;=36,36,(DATEDIF(G253,W$4,"m")))</f>
        <v>23</v>
      </c>
    </row>
    <row r="254" spans="1:23">
      <c r="A254" s="97"/>
      <c r="B254" s="97" t="s">
        <v>2542</v>
      </c>
      <c r="C254" s="97" t="s">
        <v>2543</v>
      </c>
      <c r="D254" s="97" t="s">
        <v>2544</v>
      </c>
      <c r="E254" s="98" t="s">
        <v>2549</v>
      </c>
      <c r="F254" s="98" t="s">
        <v>2546</v>
      </c>
      <c r="G254" s="159">
        <v>41038</v>
      </c>
      <c r="H254" s="97">
        <v>21</v>
      </c>
      <c r="I254" s="97">
        <v>11</v>
      </c>
      <c r="J254" s="97">
        <v>2009</v>
      </c>
      <c r="K254" s="179" t="s">
        <v>54</v>
      </c>
      <c r="L254" s="98" t="s">
        <v>2547</v>
      </c>
      <c r="M254" s="98" t="s">
        <v>349</v>
      </c>
      <c r="N254" s="137">
        <v>5469</v>
      </c>
      <c r="Q254" s="97">
        <v>3</v>
      </c>
      <c r="R254" s="112">
        <f t="shared" si="25"/>
        <v>151.88888888888889</v>
      </c>
      <c r="S254" s="111">
        <f t="shared" si="26"/>
        <v>3493.4444444444443</v>
      </c>
      <c r="T254" s="111">
        <v>6344.04</v>
      </c>
      <c r="U254" s="97">
        <v>16966</v>
      </c>
      <c r="W254" s="121">
        <f t="shared" si="27"/>
        <v>23</v>
      </c>
    </row>
    <row r="255" spans="1:23">
      <c r="A255" s="97"/>
      <c r="B255" s="97" t="s">
        <v>2542</v>
      </c>
      <c r="C255" s="97" t="s">
        <v>2543</v>
      </c>
      <c r="D255" s="97" t="s">
        <v>2544</v>
      </c>
      <c r="E255" s="98" t="s">
        <v>2550</v>
      </c>
      <c r="F255" s="98" t="s">
        <v>2546</v>
      </c>
      <c r="G255" s="159">
        <v>41038</v>
      </c>
      <c r="H255" s="97">
        <v>21</v>
      </c>
      <c r="I255" s="97">
        <v>11</v>
      </c>
      <c r="J255" s="97">
        <v>2009</v>
      </c>
      <c r="K255" s="179" t="s">
        <v>54</v>
      </c>
      <c r="L255" s="98" t="s">
        <v>2547</v>
      </c>
      <c r="M255" s="98" t="s">
        <v>349</v>
      </c>
      <c r="N255" s="137">
        <v>5469</v>
      </c>
      <c r="Q255" s="97">
        <v>3</v>
      </c>
      <c r="R255" s="112">
        <f t="shared" si="25"/>
        <v>151.88888888888889</v>
      </c>
      <c r="S255" s="111">
        <f t="shared" si="26"/>
        <v>3493.4444444444443</v>
      </c>
      <c r="T255" s="111">
        <v>6344.04</v>
      </c>
      <c r="U255" s="97">
        <v>16966</v>
      </c>
      <c r="W255" s="121">
        <f t="shared" si="27"/>
        <v>23</v>
      </c>
    </row>
    <row r="256" spans="1:23">
      <c r="A256" s="97"/>
      <c r="B256" s="97" t="s">
        <v>2542</v>
      </c>
      <c r="C256" s="97" t="s">
        <v>2543</v>
      </c>
      <c r="D256" s="97" t="s">
        <v>2544</v>
      </c>
      <c r="E256" s="98" t="s">
        <v>2551</v>
      </c>
      <c r="F256" s="98" t="s">
        <v>2546</v>
      </c>
      <c r="G256" s="159">
        <v>41038</v>
      </c>
      <c r="H256" s="97">
        <v>21</v>
      </c>
      <c r="I256" s="97">
        <v>11</v>
      </c>
      <c r="J256" s="97">
        <v>2009</v>
      </c>
      <c r="K256" s="179" t="s">
        <v>54</v>
      </c>
      <c r="L256" s="98" t="s">
        <v>2547</v>
      </c>
      <c r="M256" s="98" t="s">
        <v>349</v>
      </c>
      <c r="N256" s="137">
        <v>5469</v>
      </c>
      <c r="Q256" s="97">
        <v>3</v>
      </c>
      <c r="R256" s="112">
        <f t="shared" si="25"/>
        <v>151.88888888888889</v>
      </c>
      <c r="S256" s="111">
        <f t="shared" si="26"/>
        <v>3493.4444444444443</v>
      </c>
      <c r="T256" s="111">
        <v>6344.04</v>
      </c>
      <c r="U256" s="97">
        <v>16966</v>
      </c>
      <c r="W256" s="121">
        <f t="shared" si="27"/>
        <v>23</v>
      </c>
    </row>
    <row r="257" spans="1:23">
      <c r="A257" s="97"/>
      <c r="B257" s="97" t="s">
        <v>2542</v>
      </c>
      <c r="C257" s="97" t="s">
        <v>2543</v>
      </c>
      <c r="D257" s="97" t="s">
        <v>2544</v>
      </c>
      <c r="E257" s="98" t="s">
        <v>2552</v>
      </c>
      <c r="F257" s="98" t="s">
        <v>2546</v>
      </c>
      <c r="G257" s="159">
        <v>41038</v>
      </c>
      <c r="H257" s="97">
        <v>21</v>
      </c>
      <c r="I257" s="97">
        <v>11</v>
      </c>
      <c r="J257" s="97">
        <v>2009</v>
      </c>
      <c r="K257" s="179" t="s">
        <v>54</v>
      </c>
      <c r="L257" s="98" t="s">
        <v>2547</v>
      </c>
      <c r="M257" s="98" t="s">
        <v>349</v>
      </c>
      <c r="N257" s="137">
        <v>5469</v>
      </c>
      <c r="Q257" s="97">
        <v>3</v>
      </c>
      <c r="R257" s="112">
        <f t="shared" si="25"/>
        <v>151.88888888888889</v>
      </c>
      <c r="S257" s="111">
        <f t="shared" si="26"/>
        <v>3493.4444444444443</v>
      </c>
      <c r="T257" s="111">
        <v>6344.04</v>
      </c>
      <c r="U257" s="97">
        <v>16966</v>
      </c>
      <c r="W257" s="121">
        <f t="shared" si="27"/>
        <v>23</v>
      </c>
    </row>
    <row r="258" spans="1:23">
      <c r="A258" s="97"/>
      <c r="B258" s="97" t="s">
        <v>2542</v>
      </c>
      <c r="C258" s="97" t="s">
        <v>2543</v>
      </c>
      <c r="D258" s="97" t="s">
        <v>2544</v>
      </c>
      <c r="E258" s="98" t="s">
        <v>2553</v>
      </c>
      <c r="F258" s="98" t="s">
        <v>2546</v>
      </c>
      <c r="G258" s="159">
        <v>41038</v>
      </c>
      <c r="H258" s="97">
        <v>21</v>
      </c>
      <c r="I258" s="97">
        <v>11</v>
      </c>
      <c r="J258" s="97">
        <v>2009</v>
      </c>
      <c r="K258" s="179" t="s">
        <v>54</v>
      </c>
      <c r="L258" s="98" t="s">
        <v>2547</v>
      </c>
      <c r="M258" s="98" t="s">
        <v>349</v>
      </c>
      <c r="N258" s="137">
        <v>5469</v>
      </c>
      <c r="Q258" s="97">
        <v>3</v>
      </c>
      <c r="R258" s="112">
        <f t="shared" si="25"/>
        <v>151.88888888888889</v>
      </c>
      <c r="S258" s="111">
        <f t="shared" si="26"/>
        <v>3493.4444444444443</v>
      </c>
      <c r="T258" s="111">
        <v>6344.04</v>
      </c>
      <c r="U258" s="97">
        <v>16966</v>
      </c>
      <c r="W258" s="121">
        <f t="shared" si="27"/>
        <v>23</v>
      </c>
    </row>
    <row r="259" spans="1:23">
      <c r="A259" s="97"/>
      <c r="B259" s="97" t="s">
        <v>2542</v>
      </c>
      <c r="C259" s="97" t="s">
        <v>2543</v>
      </c>
      <c r="D259" s="97" t="s">
        <v>2544</v>
      </c>
      <c r="E259" s="98" t="s">
        <v>2554</v>
      </c>
      <c r="F259" s="98" t="s">
        <v>2546</v>
      </c>
      <c r="G259" s="159">
        <v>41038</v>
      </c>
      <c r="H259" s="97">
        <v>21</v>
      </c>
      <c r="I259" s="97">
        <v>11</v>
      </c>
      <c r="J259" s="97">
        <v>2009</v>
      </c>
      <c r="K259" s="179" t="s">
        <v>54</v>
      </c>
      <c r="L259" s="98" t="s">
        <v>2547</v>
      </c>
      <c r="M259" s="98" t="s">
        <v>349</v>
      </c>
      <c r="N259" s="137">
        <v>5469</v>
      </c>
      <c r="Q259" s="97">
        <v>3</v>
      </c>
      <c r="R259" s="112">
        <f t="shared" si="25"/>
        <v>151.88888888888889</v>
      </c>
      <c r="S259" s="111">
        <f t="shared" si="26"/>
        <v>3493.4444444444443</v>
      </c>
      <c r="T259" s="111">
        <v>6344.04</v>
      </c>
      <c r="U259" s="97">
        <v>16966</v>
      </c>
      <c r="W259" s="121">
        <f t="shared" si="27"/>
        <v>23</v>
      </c>
    </row>
    <row r="260" spans="1:23">
      <c r="A260" s="97"/>
      <c r="B260" s="97" t="s">
        <v>2542</v>
      </c>
      <c r="C260" s="97" t="s">
        <v>2543</v>
      </c>
      <c r="D260" s="97" t="s">
        <v>2544</v>
      </c>
      <c r="E260" s="98" t="s">
        <v>2555</v>
      </c>
      <c r="F260" s="98" t="s">
        <v>2546</v>
      </c>
      <c r="G260" s="159">
        <v>41038</v>
      </c>
      <c r="H260" s="97">
        <v>21</v>
      </c>
      <c r="I260" s="97">
        <v>11</v>
      </c>
      <c r="J260" s="97">
        <v>2009</v>
      </c>
      <c r="K260" s="179" t="s">
        <v>54</v>
      </c>
      <c r="L260" s="98" t="s">
        <v>2547</v>
      </c>
      <c r="M260" s="98" t="s">
        <v>349</v>
      </c>
      <c r="N260" s="137">
        <v>5469</v>
      </c>
      <c r="Q260" s="97">
        <v>3</v>
      </c>
      <c r="R260" s="112">
        <f t="shared" si="25"/>
        <v>151.88888888888889</v>
      </c>
      <c r="S260" s="111">
        <f t="shared" si="26"/>
        <v>3493.4444444444443</v>
      </c>
      <c r="T260" s="111">
        <v>6344.04</v>
      </c>
      <c r="U260" s="97">
        <v>16966</v>
      </c>
      <c r="W260" s="121">
        <f t="shared" si="27"/>
        <v>23</v>
      </c>
    </row>
    <row r="261" spans="1:23">
      <c r="A261" s="97"/>
      <c r="B261" s="97" t="s">
        <v>2542</v>
      </c>
      <c r="C261" s="97" t="s">
        <v>2543</v>
      </c>
      <c r="D261" s="97" t="s">
        <v>2544</v>
      </c>
      <c r="E261" s="98" t="s">
        <v>2556</v>
      </c>
      <c r="F261" s="98" t="s">
        <v>2546</v>
      </c>
      <c r="G261" s="159">
        <v>41038</v>
      </c>
      <c r="H261" s="97">
        <v>21</v>
      </c>
      <c r="I261" s="97">
        <v>11</v>
      </c>
      <c r="J261" s="97">
        <v>2009</v>
      </c>
      <c r="K261" s="179" t="s">
        <v>54</v>
      </c>
      <c r="L261" s="98" t="s">
        <v>2547</v>
      </c>
      <c r="M261" s="98" t="s">
        <v>349</v>
      </c>
      <c r="N261" s="137">
        <v>5469</v>
      </c>
      <c r="Q261" s="97">
        <v>3</v>
      </c>
      <c r="R261" s="112">
        <f t="shared" si="25"/>
        <v>151.88888888888889</v>
      </c>
      <c r="S261" s="111">
        <f t="shared" si="26"/>
        <v>3493.4444444444443</v>
      </c>
      <c r="T261" s="111">
        <v>6344.04</v>
      </c>
      <c r="U261" s="97">
        <v>16966</v>
      </c>
      <c r="W261" s="121">
        <f t="shared" si="27"/>
        <v>23</v>
      </c>
    </row>
    <row r="262" spans="1:23">
      <c r="N262" s="137"/>
    </row>
    <row r="263" spans="1:23" ht="31.5">
      <c r="A263" s="97"/>
      <c r="B263" s="160" t="s">
        <v>2557</v>
      </c>
      <c r="D263" s="98" t="s">
        <v>2558</v>
      </c>
      <c r="E263" s="98">
        <v>12115236</v>
      </c>
      <c r="F263" s="98" t="s">
        <v>2560</v>
      </c>
      <c r="G263" s="159">
        <v>41045</v>
      </c>
      <c r="K263" s="179" t="s">
        <v>54</v>
      </c>
      <c r="L263" s="98" t="s">
        <v>2559</v>
      </c>
      <c r="M263" s="98" t="s">
        <v>349</v>
      </c>
      <c r="N263" s="137">
        <v>7308</v>
      </c>
      <c r="Q263" s="97">
        <v>3</v>
      </c>
      <c r="R263" s="112">
        <f t="shared" ref="R263" si="28">(((N263)-1)/3)/12</f>
        <v>202.9722222222222</v>
      </c>
      <c r="S263" s="111">
        <f t="shared" ref="S263" si="29">R263*W263</f>
        <v>4668.3611111111104</v>
      </c>
      <c r="T263" s="111">
        <f t="shared" ref="T263" si="30">N263-S263</f>
        <v>2639.6388888888896</v>
      </c>
      <c r="U263" s="97">
        <v>17026</v>
      </c>
      <c r="W263" s="121">
        <f t="shared" ref="W263" si="31">IF((DATEDIF(G263,W$4,"m"))&gt;=36,36,(DATEDIF(G263,W$4,"m")))</f>
        <v>23</v>
      </c>
    </row>
    <row r="264" spans="1:23" ht="31.5">
      <c r="A264" s="97"/>
      <c r="B264" s="160" t="s">
        <v>2557</v>
      </c>
      <c r="D264" s="98" t="s">
        <v>2558</v>
      </c>
      <c r="E264" s="98">
        <v>12122073</v>
      </c>
      <c r="F264" s="98" t="s">
        <v>2560</v>
      </c>
      <c r="G264" s="159">
        <v>41045</v>
      </c>
      <c r="K264" s="179" t="s">
        <v>54</v>
      </c>
      <c r="L264" s="98" t="s">
        <v>2559</v>
      </c>
      <c r="M264" s="98" t="s">
        <v>349</v>
      </c>
      <c r="N264" s="137">
        <v>7308</v>
      </c>
      <c r="Q264" s="97">
        <v>3</v>
      </c>
      <c r="R264" s="112">
        <f t="shared" ref="R264:R282" si="32">(((N264)-1)/3)/12</f>
        <v>202.9722222222222</v>
      </c>
      <c r="S264" s="111">
        <f t="shared" ref="S264:S282" si="33">R264*W264</f>
        <v>4668.3611111111104</v>
      </c>
      <c r="T264" s="111">
        <f t="shared" ref="T264:T282" si="34">N264-S264</f>
        <v>2639.6388888888896</v>
      </c>
      <c r="U264" s="97">
        <v>17026</v>
      </c>
      <c r="W264" s="121">
        <f t="shared" ref="W264:W282" si="35">IF((DATEDIF(G264,W$4,"m"))&gt;=36,36,(DATEDIF(G264,W$4,"m")))</f>
        <v>23</v>
      </c>
    </row>
    <row r="265" spans="1:23" ht="31.5">
      <c r="A265" s="97"/>
      <c r="B265" s="160" t="s">
        <v>2557</v>
      </c>
      <c r="D265" s="98" t="s">
        <v>2558</v>
      </c>
      <c r="E265" s="98">
        <v>12114853</v>
      </c>
      <c r="F265" s="98" t="s">
        <v>2560</v>
      </c>
      <c r="G265" s="159">
        <v>41045</v>
      </c>
      <c r="K265" s="179" t="s">
        <v>54</v>
      </c>
      <c r="L265" s="98" t="s">
        <v>2559</v>
      </c>
      <c r="M265" s="98" t="s">
        <v>349</v>
      </c>
      <c r="N265" s="137">
        <v>7308</v>
      </c>
      <c r="Q265" s="97">
        <v>3</v>
      </c>
      <c r="R265" s="112">
        <f t="shared" si="32"/>
        <v>202.9722222222222</v>
      </c>
      <c r="S265" s="111">
        <f t="shared" si="33"/>
        <v>4668.3611111111104</v>
      </c>
      <c r="T265" s="111">
        <f t="shared" si="34"/>
        <v>2639.6388888888896</v>
      </c>
      <c r="U265" s="97">
        <v>17026</v>
      </c>
      <c r="W265" s="121">
        <f t="shared" si="35"/>
        <v>23</v>
      </c>
    </row>
    <row r="266" spans="1:23" ht="31.5">
      <c r="A266" s="97"/>
      <c r="B266" s="160" t="s">
        <v>2557</v>
      </c>
      <c r="D266" s="98" t="s">
        <v>2558</v>
      </c>
      <c r="E266" s="98">
        <v>12114416</v>
      </c>
      <c r="F266" s="98" t="s">
        <v>2560</v>
      </c>
      <c r="G266" s="159">
        <v>41045</v>
      </c>
      <c r="K266" s="179" t="s">
        <v>54</v>
      </c>
      <c r="L266" s="98" t="s">
        <v>2559</v>
      </c>
      <c r="M266" s="98" t="s">
        <v>349</v>
      </c>
      <c r="N266" s="137">
        <v>7308</v>
      </c>
      <c r="Q266" s="97">
        <v>3</v>
      </c>
      <c r="R266" s="112">
        <f t="shared" si="32"/>
        <v>202.9722222222222</v>
      </c>
      <c r="S266" s="111">
        <f t="shared" si="33"/>
        <v>4668.3611111111104</v>
      </c>
      <c r="T266" s="111">
        <f t="shared" si="34"/>
        <v>2639.6388888888896</v>
      </c>
      <c r="U266" s="97">
        <v>17026</v>
      </c>
      <c r="W266" s="121">
        <f t="shared" si="35"/>
        <v>23</v>
      </c>
    </row>
    <row r="267" spans="1:23" ht="31.5">
      <c r="A267" s="97"/>
      <c r="B267" s="160" t="s">
        <v>2557</v>
      </c>
      <c r="D267" s="98" t="s">
        <v>2558</v>
      </c>
      <c r="E267" s="98">
        <v>12100757</v>
      </c>
      <c r="F267" s="98" t="s">
        <v>2560</v>
      </c>
      <c r="G267" s="159">
        <v>41045</v>
      </c>
      <c r="K267" s="179" t="s">
        <v>54</v>
      </c>
      <c r="L267" s="98" t="s">
        <v>2559</v>
      </c>
      <c r="M267" s="98" t="s">
        <v>349</v>
      </c>
      <c r="N267" s="137">
        <v>7308</v>
      </c>
      <c r="Q267" s="97">
        <v>3</v>
      </c>
      <c r="R267" s="112">
        <f t="shared" si="32"/>
        <v>202.9722222222222</v>
      </c>
      <c r="S267" s="111">
        <f t="shared" si="33"/>
        <v>4668.3611111111104</v>
      </c>
      <c r="T267" s="111">
        <f t="shared" si="34"/>
        <v>2639.6388888888896</v>
      </c>
      <c r="U267" s="97">
        <v>17026</v>
      </c>
      <c r="W267" s="121">
        <f t="shared" si="35"/>
        <v>23</v>
      </c>
    </row>
    <row r="268" spans="1:23" ht="31.5">
      <c r="A268" s="97"/>
      <c r="B268" s="160" t="s">
        <v>2557</v>
      </c>
      <c r="D268" s="98" t="s">
        <v>2558</v>
      </c>
      <c r="E268" s="98">
        <v>12100549</v>
      </c>
      <c r="F268" s="98" t="s">
        <v>2560</v>
      </c>
      <c r="G268" s="159">
        <v>41045</v>
      </c>
      <c r="K268" s="179" t="s">
        <v>54</v>
      </c>
      <c r="L268" s="98" t="s">
        <v>2559</v>
      </c>
      <c r="M268" s="98" t="s">
        <v>349</v>
      </c>
      <c r="N268" s="137">
        <v>7308</v>
      </c>
      <c r="Q268" s="97">
        <v>3</v>
      </c>
      <c r="R268" s="112">
        <f t="shared" si="32"/>
        <v>202.9722222222222</v>
      </c>
      <c r="S268" s="111">
        <f t="shared" si="33"/>
        <v>4668.3611111111104</v>
      </c>
      <c r="T268" s="111">
        <f t="shared" si="34"/>
        <v>2639.6388888888896</v>
      </c>
      <c r="U268" s="97">
        <v>17026</v>
      </c>
      <c r="W268" s="121">
        <f t="shared" si="35"/>
        <v>23</v>
      </c>
    </row>
    <row r="269" spans="1:23" ht="31.5">
      <c r="A269" s="97"/>
      <c r="B269" s="160" t="s">
        <v>2557</v>
      </c>
      <c r="D269" s="98" t="s">
        <v>2558</v>
      </c>
      <c r="E269" s="98">
        <v>12100535</v>
      </c>
      <c r="F269" s="98" t="s">
        <v>2560</v>
      </c>
      <c r="G269" s="159">
        <v>41045</v>
      </c>
      <c r="K269" s="179" t="s">
        <v>54</v>
      </c>
      <c r="L269" s="98" t="s">
        <v>2559</v>
      </c>
      <c r="M269" s="98" t="s">
        <v>349</v>
      </c>
      <c r="N269" s="137">
        <v>7308</v>
      </c>
      <c r="Q269" s="97">
        <v>3</v>
      </c>
      <c r="R269" s="112">
        <f t="shared" si="32"/>
        <v>202.9722222222222</v>
      </c>
      <c r="S269" s="111">
        <f t="shared" si="33"/>
        <v>4668.3611111111104</v>
      </c>
      <c r="T269" s="111">
        <f t="shared" si="34"/>
        <v>2639.6388888888896</v>
      </c>
      <c r="U269" s="97">
        <v>17026</v>
      </c>
      <c r="W269" s="121">
        <f t="shared" si="35"/>
        <v>23</v>
      </c>
    </row>
    <row r="270" spans="1:23" ht="31.5">
      <c r="A270" s="97"/>
      <c r="B270" s="160" t="s">
        <v>2557</v>
      </c>
      <c r="D270" s="98" t="s">
        <v>2558</v>
      </c>
      <c r="E270" s="98">
        <v>12122070</v>
      </c>
      <c r="F270" s="98" t="s">
        <v>2560</v>
      </c>
      <c r="G270" s="159">
        <v>41045</v>
      </c>
      <c r="K270" s="179" t="s">
        <v>54</v>
      </c>
      <c r="L270" s="98" t="s">
        <v>2559</v>
      </c>
      <c r="M270" s="98" t="s">
        <v>349</v>
      </c>
      <c r="N270" s="137">
        <v>7308</v>
      </c>
      <c r="Q270" s="97">
        <v>3</v>
      </c>
      <c r="R270" s="112">
        <f t="shared" si="32"/>
        <v>202.9722222222222</v>
      </c>
      <c r="S270" s="111">
        <f t="shared" si="33"/>
        <v>4668.3611111111104</v>
      </c>
      <c r="T270" s="111">
        <f t="shared" si="34"/>
        <v>2639.6388888888896</v>
      </c>
      <c r="U270" s="97">
        <v>17026</v>
      </c>
      <c r="W270" s="121">
        <f t="shared" si="35"/>
        <v>23</v>
      </c>
    </row>
    <row r="271" spans="1:23" ht="31.5">
      <c r="A271" s="97"/>
      <c r="B271" s="160" t="s">
        <v>2557</v>
      </c>
      <c r="D271" s="98" t="s">
        <v>2558</v>
      </c>
      <c r="E271" s="98">
        <v>12122524</v>
      </c>
      <c r="F271" s="98" t="s">
        <v>2560</v>
      </c>
      <c r="G271" s="159">
        <v>41045</v>
      </c>
      <c r="K271" s="179" t="s">
        <v>54</v>
      </c>
      <c r="L271" s="98" t="s">
        <v>2559</v>
      </c>
      <c r="M271" s="98" t="s">
        <v>349</v>
      </c>
      <c r="N271" s="137">
        <v>7308</v>
      </c>
      <c r="Q271" s="97">
        <v>3</v>
      </c>
      <c r="R271" s="112">
        <f t="shared" si="32"/>
        <v>202.9722222222222</v>
      </c>
      <c r="S271" s="111">
        <f t="shared" si="33"/>
        <v>4668.3611111111104</v>
      </c>
      <c r="T271" s="111">
        <f t="shared" si="34"/>
        <v>2639.6388888888896</v>
      </c>
      <c r="U271" s="97">
        <v>17026</v>
      </c>
      <c r="W271" s="121">
        <f t="shared" si="35"/>
        <v>23</v>
      </c>
    </row>
    <row r="272" spans="1:23" ht="31.5">
      <c r="A272" s="97"/>
      <c r="B272" s="160" t="s">
        <v>2557</v>
      </c>
      <c r="D272" s="98" t="s">
        <v>2558</v>
      </c>
      <c r="E272" s="98">
        <v>12100532</v>
      </c>
      <c r="F272" s="98" t="s">
        <v>2560</v>
      </c>
      <c r="G272" s="159">
        <v>41045</v>
      </c>
      <c r="K272" s="179" t="s">
        <v>54</v>
      </c>
      <c r="L272" s="98" t="s">
        <v>2559</v>
      </c>
      <c r="M272" s="98" t="s">
        <v>349</v>
      </c>
      <c r="N272" s="137">
        <v>7308</v>
      </c>
      <c r="Q272" s="97">
        <v>3</v>
      </c>
      <c r="R272" s="112">
        <f t="shared" si="32"/>
        <v>202.9722222222222</v>
      </c>
      <c r="S272" s="111">
        <f t="shared" si="33"/>
        <v>4668.3611111111104</v>
      </c>
      <c r="T272" s="111">
        <f t="shared" si="34"/>
        <v>2639.6388888888896</v>
      </c>
      <c r="U272" s="97">
        <v>17026</v>
      </c>
      <c r="W272" s="121">
        <f t="shared" si="35"/>
        <v>23</v>
      </c>
    </row>
    <row r="273" spans="1:23" ht="31.5">
      <c r="A273" s="97"/>
      <c r="B273" s="160" t="s">
        <v>2557</v>
      </c>
      <c r="D273" s="98" t="s">
        <v>2558</v>
      </c>
      <c r="E273" s="98">
        <v>12122176</v>
      </c>
      <c r="F273" s="98" t="s">
        <v>2560</v>
      </c>
      <c r="G273" s="159">
        <v>41045</v>
      </c>
      <c r="K273" s="179" t="s">
        <v>54</v>
      </c>
      <c r="L273" s="98" t="s">
        <v>2559</v>
      </c>
      <c r="M273" s="98" t="s">
        <v>349</v>
      </c>
      <c r="N273" s="137">
        <v>7308</v>
      </c>
      <c r="Q273" s="97">
        <v>3</v>
      </c>
      <c r="R273" s="112">
        <f t="shared" si="32"/>
        <v>202.9722222222222</v>
      </c>
      <c r="S273" s="111">
        <f t="shared" si="33"/>
        <v>4668.3611111111104</v>
      </c>
      <c r="T273" s="111">
        <f t="shared" si="34"/>
        <v>2639.6388888888896</v>
      </c>
      <c r="U273" s="97">
        <v>17026</v>
      </c>
      <c r="W273" s="121">
        <f t="shared" si="35"/>
        <v>23</v>
      </c>
    </row>
    <row r="274" spans="1:23" ht="31.5">
      <c r="A274" s="97"/>
      <c r="B274" s="160" t="s">
        <v>2557</v>
      </c>
      <c r="D274" s="98" t="s">
        <v>2558</v>
      </c>
      <c r="E274" s="98">
        <v>12122229</v>
      </c>
      <c r="F274" s="98" t="s">
        <v>2560</v>
      </c>
      <c r="G274" s="159">
        <v>41045</v>
      </c>
      <c r="K274" s="179" t="s">
        <v>54</v>
      </c>
      <c r="L274" s="98" t="s">
        <v>2559</v>
      </c>
      <c r="M274" s="98" t="s">
        <v>349</v>
      </c>
      <c r="N274" s="137">
        <v>7308</v>
      </c>
      <c r="Q274" s="97">
        <v>3</v>
      </c>
      <c r="R274" s="112">
        <f t="shared" si="32"/>
        <v>202.9722222222222</v>
      </c>
      <c r="S274" s="111">
        <f t="shared" si="33"/>
        <v>4668.3611111111104</v>
      </c>
      <c r="T274" s="111">
        <f t="shared" si="34"/>
        <v>2639.6388888888896</v>
      </c>
      <c r="U274" s="97">
        <v>17026</v>
      </c>
      <c r="W274" s="121">
        <f t="shared" si="35"/>
        <v>23</v>
      </c>
    </row>
    <row r="275" spans="1:23" ht="31.5">
      <c r="A275" s="97"/>
      <c r="B275" s="160" t="s">
        <v>2557</v>
      </c>
      <c r="D275" s="98" t="s">
        <v>2558</v>
      </c>
      <c r="E275" s="98">
        <v>12114369</v>
      </c>
      <c r="F275" s="98" t="s">
        <v>2560</v>
      </c>
      <c r="G275" s="159">
        <v>41045</v>
      </c>
      <c r="K275" s="179" t="s">
        <v>54</v>
      </c>
      <c r="L275" s="98" t="s">
        <v>2559</v>
      </c>
      <c r="M275" s="98" t="s">
        <v>349</v>
      </c>
      <c r="N275" s="137">
        <v>7308</v>
      </c>
      <c r="Q275" s="97">
        <v>3</v>
      </c>
      <c r="R275" s="112">
        <f t="shared" si="32"/>
        <v>202.9722222222222</v>
      </c>
      <c r="S275" s="111">
        <f t="shared" si="33"/>
        <v>4668.3611111111104</v>
      </c>
      <c r="T275" s="111">
        <f t="shared" si="34"/>
        <v>2639.6388888888896</v>
      </c>
      <c r="U275" s="97">
        <v>17026</v>
      </c>
      <c r="W275" s="121">
        <f t="shared" si="35"/>
        <v>23</v>
      </c>
    </row>
    <row r="276" spans="1:23" ht="31.5">
      <c r="A276" s="97"/>
      <c r="B276" s="160" t="s">
        <v>2557</v>
      </c>
      <c r="D276" s="98" t="s">
        <v>2558</v>
      </c>
      <c r="E276" s="98">
        <v>12122102</v>
      </c>
      <c r="F276" s="98" t="s">
        <v>2560</v>
      </c>
      <c r="G276" s="159">
        <v>41045</v>
      </c>
      <c r="K276" s="179" t="s">
        <v>54</v>
      </c>
      <c r="L276" s="98" t="s">
        <v>2559</v>
      </c>
      <c r="M276" s="98" t="s">
        <v>349</v>
      </c>
      <c r="N276" s="137">
        <v>7308</v>
      </c>
      <c r="Q276" s="97">
        <v>3</v>
      </c>
      <c r="R276" s="112">
        <f t="shared" si="32"/>
        <v>202.9722222222222</v>
      </c>
      <c r="S276" s="111">
        <f t="shared" si="33"/>
        <v>4668.3611111111104</v>
      </c>
      <c r="T276" s="111">
        <f t="shared" si="34"/>
        <v>2639.6388888888896</v>
      </c>
      <c r="U276" s="97">
        <v>17026</v>
      </c>
      <c r="W276" s="121">
        <f t="shared" si="35"/>
        <v>23</v>
      </c>
    </row>
    <row r="277" spans="1:23" ht="31.5">
      <c r="A277" s="97"/>
      <c r="B277" s="160" t="s">
        <v>2557</v>
      </c>
      <c r="D277" s="98" t="s">
        <v>2558</v>
      </c>
      <c r="E277" s="98">
        <v>12122126</v>
      </c>
      <c r="F277" s="98" t="s">
        <v>2560</v>
      </c>
      <c r="G277" s="159">
        <v>41045</v>
      </c>
      <c r="K277" s="179" t="s">
        <v>54</v>
      </c>
      <c r="L277" s="98" t="s">
        <v>2559</v>
      </c>
      <c r="M277" s="98" t="s">
        <v>349</v>
      </c>
      <c r="N277" s="137">
        <v>7308</v>
      </c>
      <c r="Q277" s="97">
        <v>3</v>
      </c>
      <c r="R277" s="112">
        <f t="shared" si="32"/>
        <v>202.9722222222222</v>
      </c>
      <c r="S277" s="111">
        <f t="shared" si="33"/>
        <v>4668.3611111111104</v>
      </c>
      <c r="T277" s="111">
        <f t="shared" si="34"/>
        <v>2639.6388888888896</v>
      </c>
      <c r="U277" s="97">
        <v>17026</v>
      </c>
      <c r="W277" s="121">
        <f t="shared" si="35"/>
        <v>23</v>
      </c>
    </row>
    <row r="278" spans="1:23" ht="31.5">
      <c r="A278" s="97"/>
      <c r="B278" s="160" t="s">
        <v>2557</v>
      </c>
      <c r="D278" s="98" t="s">
        <v>2558</v>
      </c>
      <c r="E278" s="98">
        <v>12114828</v>
      </c>
      <c r="F278" s="98" t="s">
        <v>2560</v>
      </c>
      <c r="G278" s="159">
        <v>41045</v>
      </c>
      <c r="K278" s="179" t="s">
        <v>54</v>
      </c>
      <c r="L278" s="98" t="s">
        <v>2559</v>
      </c>
      <c r="M278" s="98" t="s">
        <v>349</v>
      </c>
      <c r="N278" s="137">
        <v>7308</v>
      </c>
      <c r="Q278" s="97">
        <v>3</v>
      </c>
      <c r="R278" s="112">
        <f t="shared" si="32"/>
        <v>202.9722222222222</v>
      </c>
      <c r="S278" s="111">
        <f t="shared" si="33"/>
        <v>4668.3611111111104</v>
      </c>
      <c r="T278" s="111">
        <f t="shared" si="34"/>
        <v>2639.6388888888896</v>
      </c>
      <c r="U278" s="97">
        <v>17026</v>
      </c>
      <c r="W278" s="121">
        <f t="shared" si="35"/>
        <v>23</v>
      </c>
    </row>
    <row r="279" spans="1:23" ht="31.5">
      <c r="A279" s="97"/>
      <c r="B279" s="160" t="s">
        <v>2557</v>
      </c>
      <c r="D279" s="98" t="s">
        <v>2558</v>
      </c>
      <c r="E279" s="98">
        <v>12122539</v>
      </c>
      <c r="F279" s="98" t="s">
        <v>2560</v>
      </c>
      <c r="G279" s="159">
        <v>41045</v>
      </c>
      <c r="K279" s="179" t="s">
        <v>54</v>
      </c>
      <c r="L279" s="98" t="s">
        <v>2559</v>
      </c>
      <c r="M279" s="98" t="s">
        <v>349</v>
      </c>
      <c r="N279" s="137">
        <v>7308</v>
      </c>
      <c r="Q279" s="97">
        <v>3</v>
      </c>
      <c r="R279" s="112">
        <f t="shared" si="32"/>
        <v>202.9722222222222</v>
      </c>
      <c r="S279" s="111">
        <f t="shared" si="33"/>
        <v>4668.3611111111104</v>
      </c>
      <c r="T279" s="111">
        <f t="shared" si="34"/>
        <v>2639.6388888888896</v>
      </c>
      <c r="U279" s="97">
        <v>17026</v>
      </c>
      <c r="W279" s="121">
        <f t="shared" si="35"/>
        <v>23</v>
      </c>
    </row>
    <row r="280" spans="1:23" ht="31.5">
      <c r="A280" s="97"/>
      <c r="B280" s="160" t="s">
        <v>2557</v>
      </c>
      <c r="D280" s="98" t="s">
        <v>2558</v>
      </c>
      <c r="E280" s="98">
        <v>12122096</v>
      </c>
      <c r="F280" s="98" t="s">
        <v>2560</v>
      </c>
      <c r="G280" s="159">
        <v>41045</v>
      </c>
      <c r="K280" s="179" t="s">
        <v>54</v>
      </c>
      <c r="L280" s="98" t="s">
        <v>2559</v>
      </c>
      <c r="M280" s="98" t="s">
        <v>349</v>
      </c>
      <c r="N280" s="137">
        <v>7308</v>
      </c>
      <c r="Q280" s="97">
        <v>3</v>
      </c>
      <c r="R280" s="112">
        <f t="shared" si="32"/>
        <v>202.9722222222222</v>
      </c>
      <c r="S280" s="111">
        <f t="shared" si="33"/>
        <v>4668.3611111111104</v>
      </c>
      <c r="T280" s="111">
        <f t="shared" si="34"/>
        <v>2639.6388888888896</v>
      </c>
      <c r="U280" s="97">
        <v>17026</v>
      </c>
      <c r="W280" s="121">
        <f t="shared" si="35"/>
        <v>23</v>
      </c>
    </row>
    <row r="281" spans="1:23" ht="31.5">
      <c r="A281" s="97"/>
      <c r="B281" s="160" t="s">
        <v>2557</v>
      </c>
      <c r="D281" s="98" t="s">
        <v>2558</v>
      </c>
      <c r="E281" s="98">
        <v>12122482</v>
      </c>
      <c r="F281" s="98" t="s">
        <v>2560</v>
      </c>
      <c r="G281" s="159">
        <v>41045</v>
      </c>
      <c r="K281" s="179" t="s">
        <v>54</v>
      </c>
      <c r="L281" s="98" t="s">
        <v>2559</v>
      </c>
      <c r="M281" s="98" t="s">
        <v>349</v>
      </c>
      <c r="N281" s="137">
        <v>7308</v>
      </c>
      <c r="Q281" s="97">
        <v>3</v>
      </c>
      <c r="R281" s="112">
        <f t="shared" si="32"/>
        <v>202.9722222222222</v>
      </c>
      <c r="S281" s="111">
        <f t="shared" si="33"/>
        <v>4668.3611111111104</v>
      </c>
      <c r="T281" s="111">
        <f t="shared" si="34"/>
        <v>2639.6388888888896</v>
      </c>
      <c r="U281" s="97">
        <v>17026</v>
      </c>
      <c r="W281" s="121">
        <f t="shared" si="35"/>
        <v>23</v>
      </c>
    </row>
    <row r="282" spans="1:23" ht="31.5">
      <c r="A282" s="97"/>
      <c r="B282" s="160" t="s">
        <v>2557</v>
      </c>
      <c r="D282" s="98" t="s">
        <v>2558</v>
      </c>
      <c r="E282" s="98">
        <v>12114339</v>
      </c>
      <c r="F282" s="98" t="s">
        <v>2560</v>
      </c>
      <c r="G282" s="159">
        <v>41045</v>
      </c>
      <c r="K282" s="179" t="s">
        <v>54</v>
      </c>
      <c r="L282" s="98" t="s">
        <v>2559</v>
      </c>
      <c r="M282" s="98" t="s">
        <v>349</v>
      </c>
      <c r="N282" s="137">
        <v>7308</v>
      </c>
      <c r="Q282" s="97">
        <v>3</v>
      </c>
      <c r="R282" s="112">
        <f t="shared" si="32"/>
        <v>202.9722222222222</v>
      </c>
      <c r="S282" s="111">
        <f t="shared" si="33"/>
        <v>4668.3611111111104</v>
      </c>
      <c r="T282" s="111">
        <f t="shared" si="34"/>
        <v>2639.6388888888896</v>
      </c>
      <c r="U282" s="97">
        <v>17026</v>
      </c>
      <c r="W282" s="121">
        <f t="shared" si="35"/>
        <v>23</v>
      </c>
    </row>
    <row r="283" spans="1:23">
      <c r="N283" s="137"/>
    </row>
    <row r="284" spans="1:23">
      <c r="B284" s="98" t="s">
        <v>537</v>
      </c>
      <c r="C284" s="98" t="s">
        <v>2561</v>
      </c>
      <c r="D284" s="98" t="s">
        <v>2562</v>
      </c>
      <c r="E284" s="98">
        <v>406124</v>
      </c>
      <c r="F284" s="98" t="s">
        <v>2560</v>
      </c>
      <c r="G284" s="159">
        <v>41057</v>
      </c>
      <c r="H284" s="114">
        <v>26</v>
      </c>
      <c r="I284" s="114">
        <v>10</v>
      </c>
      <c r="J284" s="113">
        <v>2007</v>
      </c>
      <c r="K284" s="98" t="s">
        <v>30</v>
      </c>
      <c r="L284" s="98" t="s">
        <v>2559</v>
      </c>
      <c r="M284" s="98" t="s">
        <v>349</v>
      </c>
      <c r="N284" s="137">
        <v>37717.03</v>
      </c>
      <c r="O284" s="294"/>
      <c r="P284" s="294"/>
      <c r="Q284" s="97">
        <v>3</v>
      </c>
      <c r="R284" s="112">
        <f t="shared" ref="R284" si="36">(((N284)-1)/3)/12</f>
        <v>1047.6675</v>
      </c>
      <c r="S284" s="111">
        <f t="shared" ref="S284" si="37">R284*W284</f>
        <v>24096.352500000001</v>
      </c>
      <c r="T284" s="111">
        <f t="shared" ref="T284" si="38">N284-S284</f>
        <v>13620.677499999998</v>
      </c>
      <c r="U284" s="97">
        <v>17026</v>
      </c>
      <c r="W284" s="121">
        <f t="shared" ref="W284" si="39">IF((DATEDIF(G284,W$4,"m"))&gt;=36,36,(DATEDIF(G284,W$4,"m")))</f>
        <v>23</v>
      </c>
    </row>
    <row r="286" spans="1:23">
      <c r="A286" s="443"/>
      <c r="B286" s="438" t="s">
        <v>2563</v>
      </c>
      <c r="C286" s="438" t="s">
        <v>2564</v>
      </c>
      <c r="D286" s="438" t="s">
        <v>2565</v>
      </c>
      <c r="E286" s="438" t="s">
        <v>2567</v>
      </c>
      <c r="F286" s="438" t="s">
        <v>2560</v>
      </c>
      <c r="G286" s="439">
        <v>41057</v>
      </c>
      <c r="H286" s="440">
        <v>26</v>
      </c>
      <c r="I286" s="440">
        <v>10</v>
      </c>
      <c r="J286" s="441">
        <v>2007</v>
      </c>
      <c r="K286" s="438" t="s">
        <v>30</v>
      </c>
      <c r="L286" s="438" t="s">
        <v>2559</v>
      </c>
      <c r="M286" s="438" t="s">
        <v>349</v>
      </c>
      <c r="N286" s="442">
        <v>40123.703999999998</v>
      </c>
      <c r="O286" s="443"/>
      <c r="P286" s="443"/>
      <c r="Q286" s="443">
        <v>3</v>
      </c>
      <c r="R286" s="444">
        <f t="shared" ref="R286" si="40">(((N286)-1)/3)/12</f>
        <v>1114.5195555555554</v>
      </c>
      <c r="S286" s="445">
        <f t="shared" ref="S286" si="41">R286*W286</f>
        <v>25633.949777777772</v>
      </c>
      <c r="T286" s="445">
        <f t="shared" ref="T286" si="42">N286-S286</f>
        <v>14489.754222222226</v>
      </c>
      <c r="U286" s="443">
        <v>17026</v>
      </c>
      <c r="V286" s="443"/>
      <c r="W286" s="446">
        <f t="shared" ref="W286" si="43">IF((DATEDIF(G286,W$4,"m"))&gt;=36,36,(DATEDIF(G286,W$4,"m")))</f>
        <v>23</v>
      </c>
    </row>
    <row r="287" spans="1:23">
      <c r="A287" s="443"/>
      <c r="B287" s="438" t="s">
        <v>2563</v>
      </c>
      <c r="C287" s="438" t="s">
        <v>2564</v>
      </c>
      <c r="D287" s="438" t="s">
        <v>2565</v>
      </c>
      <c r="E287" s="438" t="s">
        <v>2566</v>
      </c>
      <c r="F287" s="438" t="s">
        <v>2560</v>
      </c>
      <c r="G287" s="439">
        <v>41057</v>
      </c>
      <c r="H287" s="440">
        <v>26</v>
      </c>
      <c r="I287" s="440">
        <v>10</v>
      </c>
      <c r="J287" s="441">
        <v>2007</v>
      </c>
      <c r="K287" s="438" t="s">
        <v>30</v>
      </c>
      <c r="L287" s="438" t="s">
        <v>2559</v>
      </c>
      <c r="M287" s="438" t="s">
        <v>349</v>
      </c>
      <c r="N287" s="442">
        <v>40123.703999999998</v>
      </c>
      <c r="O287" s="443"/>
      <c r="P287" s="443"/>
      <c r="Q287" s="443">
        <v>3</v>
      </c>
      <c r="R287" s="444">
        <f t="shared" ref="R287" si="44">(((N287)-1)/3)/12</f>
        <v>1114.5195555555554</v>
      </c>
      <c r="S287" s="445">
        <f t="shared" ref="S287" si="45">R287*W287</f>
        <v>25633.949777777772</v>
      </c>
      <c r="T287" s="445">
        <f t="shared" ref="T287" si="46">N287-S287</f>
        <v>14489.754222222226</v>
      </c>
      <c r="U287" s="443">
        <v>17026</v>
      </c>
      <c r="V287" s="443"/>
      <c r="W287" s="446">
        <f t="shared" ref="W287" si="47">IF((DATEDIF(G287,W$4,"m"))&gt;=36,36,(DATEDIF(G287,W$4,"m")))</f>
        <v>23</v>
      </c>
    </row>
    <row r="288" spans="1:23">
      <c r="A288" s="443"/>
      <c r="B288" s="438" t="s">
        <v>2563</v>
      </c>
      <c r="C288" s="438" t="s">
        <v>2564</v>
      </c>
      <c r="D288" s="438" t="s">
        <v>2565</v>
      </c>
      <c r="E288" s="438" t="s">
        <v>2568</v>
      </c>
      <c r="F288" s="438" t="s">
        <v>2560</v>
      </c>
      <c r="G288" s="439">
        <v>41057</v>
      </c>
      <c r="H288" s="440">
        <v>26</v>
      </c>
      <c r="I288" s="440">
        <v>10</v>
      </c>
      <c r="J288" s="441">
        <v>2007</v>
      </c>
      <c r="K288" s="438" t="s">
        <v>30</v>
      </c>
      <c r="L288" s="438" t="s">
        <v>2559</v>
      </c>
      <c r="M288" s="438" t="s">
        <v>349</v>
      </c>
      <c r="N288" s="442">
        <v>40123.703999999998</v>
      </c>
      <c r="O288" s="443"/>
      <c r="P288" s="443"/>
      <c r="Q288" s="443">
        <v>3</v>
      </c>
      <c r="R288" s="444">
        <f t="shared" ref="R288:R289" si="48">(((N288)-1)/3)/12</f>
        <v>1114.5195555555554</v>
      </c>
      <c r="S288" s="445">
        <f t="shared" ref="S288:S289" si="49">R288*W288</f>
        <v>25633.949777777772</v>
      </c>
      <c r="T288" s="445">
        <f t="shared" ref="T288:T289" si="50">N288-S288</f>
        <v>14489.754222222226</v>
      </c>
      <c r="U288" s="443">
        <v>17026</v>
      </c>
      <c r="V288" s="443"/>
      <c r="W288" s="446">
        <f t="shared" ref="W288:W289" si="51">IF((DATEDIF(G288,W$4,"m"))&gt;=36,36,(DATEDIF(G288,W$4,"m")))</f>
        <v>23</v>
      </c>
    </row>
    <row r="289" spans="1:23">
      <c r="A289" s="443"/>
      <c r="B289" s="438" t="s">
        <v>2563</v>
      </c>
      <c r="C289" s="438" t="s">
        <v>2564</v>
      </c>
      <c r="D289" s="438" t="s">
        <v>2565</v>
      </c>
      <c r="E289" s="438" t="s">
        <v>2569</v>
      </c>
      <c r="F289" s="438" t="s">
        <v>2560</v>
      </c>
      <c r="G289" s="439">
        <v>41057</v>
      </c>
      <c r="H289" s="440">
        <v>26</v>
      </c>
      <c r="I289" s="440">
        <v>10</v>
      </c>
      <c r="J289" s="441">
        <v>2007</v>
      </c>
      <c r="K289" s="438" t="s">
        <v>30</v>
      </c>
      <c r="L289" s="438" t="s">
        <v>2559</v>
      </c>
      <c r="M289" s="438" t="s">
        <v>349</v>
      </c>
      <c r="N289" s="442">
        <v>40123.703999999998</v>
      </c>
      <c r="O289" s="443"/>
      <c r="P289" s="443"/>
      <c r="Q289" s="443">
        <v>3</v>
      </c>
      <c r="R289" s="444">
        <f t="shared" si="48"/>
        <v>1114.5195555555554</v>
      </c>
      <c r="S289" s="445">
        <f t="shared" si="49"/>
        <v>25633.949777777772</v>
      </c>
      <c r="T289" s="445">
        <f t="shared" si="50"/>
        <v>14489.754222222226</v>
      </c>
      <c r="U289" s="443">
        <v>17026</v>
      </c>
      <c r="V289" s="443"/>
      <c r="W289" s="446">
        <f t="shared" si="51"/>
        <v>23</v>
      </c>
    </row>
    <row r="292" spans="1:23">
      <c r="B292" s="160" t="s">
        <v>586</v>
      </c>
      <c r="C292" s="98" t="s">
        <v>187</v>
      </c>
      <c r="D292" s="98" t="s">
        <v>2575</v>
      </c>
      <c r="F292" s="98" t="s">
        <v>495</v>
      </c>
      <c r="G292" s="159">
        <v>41086</v>
      </c>
      <c r="K292" s="98" t="s">
        <v>30</v>
      </c>
      <c r="L292" s="98" t="s">
        <v>2578</v>
      </c>
      <c r="M292" s="98" t="s">
        <v>349</v>
      </c>
      <c r="N292" s="112">
        <v>77339</v>
      </c>
      <c r="Q292" s="109">
        <v>3</v>
      </c>
      <c r="R292" s="112">
        <f t="shared" ref="R292" si="52">(((N292)-1)/3)/12</f>
        <v>2148.2777777777778</v>
      </c>
      <c r="S292" s="111">
        <f t="shared" ref="S292" si="53">R292*W292</f>
        <v>47262.111111111109</v>
      </c>
      <c r="T292" s="111">
        <f>N292-S292</f>
        <v>30076.888888888891</v>
      </c>
      <c r="U292" s="97">
        <v>17133</v>
      </c>
      <c r="W292" s="121">
        <f>IF((DATEDIF(G292,W$4,"m"))&gt;=36,36,(DATEDIF(G292,W$4,"m")))</f>
        <v>22</v>
      </c>
    </row>
    <row r="293" spans="1:23" ht="31.5">
      <c r="A293" s="447"/>
      <c r="B293" s="448" t="s">
        <v>2577</v>
      </c>
      <c r="C293" s="448" t="s">
        <v>2576</v>
      </c>
      <c r="D293" s="448"/>
      <c r="E293" s="447"/>
      <c r="F293" s="447" t="s">
        <v>495</v>
      </c>
      <c r="G293" s="449">
        <v>41086</v>
      </c>
      <c r="H293" s="450"/>
      <c r="I293" s="450"/>
      <c r="J293" s="451"/>
      <c r="K293" s="447" t="s">
        <v>30</v>
      </c>
      <c r="L293" s="447" t="s">
        <v>2578</v>
      </c>
      <c r="M293" s="447" t="s">
        <v>349</v>
      </c>
      <c r="N293" s="452">
        <v>39574.800000000003</v>
      </c>
      <c r="P293" s="453"/>
      <c r="Q293" s="454">
        <v>3</v>
      </c>
      <c r="R293" s="452">
        <f t="shared" ref="R293" si="54">(((N293)-1)/3)/12</f>
        <v>1099.2722222222224</v>
      </c>
      <c r="S293" s="455">
        <f t="shared" ref="S293" si="55">R293*W293</f>
        <v>24183.988888888893</v>
      </c>
      <c r="T293" s="455">
        <f>N293-S293</f>
        <v>15390.81111111111</v>
      </c>
      <c r="U293" s="453">
        <v>17133</v>
      </c>
      <c r="V293" s="453"/>
      <c r="W293" s="456">
        <f>IF((DATEDIF(G293,W$4,"m"))&gt;=36,36,(DATEDIF(G293,W$4,"m")))</f>
        <v>22</v>
      </c>
    </row>
    <row r="294" spans="1:23" s="96" customFormat="1">
      <c r="A294" s="118"/>
      <c r="B294" s="118"/>
      <c r="C294" s="118"/>
      <c r="D294" s="118"/>
      <c r="E294" s="118"/>
      <c r="F294" s="118"/>
      <c r="G294" s="118"/>
      <c r="H294" s="120"/>
      <c r="I294" s="120"/>
      <c r="J294" s="119"/>
      <c r="K294" s="118"/>
      <c r="L294" s="118"/>
      <c r="M294" s="118"/>
      <c r="N294" s="386">
        <f>SUM(N252:N293)</f>
        <v>515975.64600000001</v>
      </c>
      <c r="Q294" s="115"/>
      <c r="R294" s="386">
        <f>SUM(R252:R293)</f>
        <v>14331.629055555555</v>
      </c>
      <c r="S294" s="386">
        <f t="shared" ref="S294:T294" si="56">SUM(S252:S293)</f>
        <v>326379.91827777773</v>
      </c>
      <c r="T294" s="386">
        <f t="shared" si="56"/>
        <v>233280.57216666671</v>
      </c>
      <c r="W294" s="116"/>
    </row>
    <row r="296" spans="1:23" s="96" customFormat="1" ht="16.5" thickBot="1">
      <c r="A296" s="118"/>
      <c r="B296" s="118"/>
      <c r="C296" s="118"/>
      <c r="D296" s="118"/>
      <c r="E296" s="118"/>
      <c r="F296" s="118"/>
      <c r="G296" s="118"/>
      <c r="H296" s="120"/>
      <c r="I296" s="120"/>
      <c r="J296" s="119"/>
      <c r="K296" s="118"/>
      <c r="L296" s="118"/>
      <c r="M296" s="118"/>
      <c r="N296" s="387">
        <f>+N294+N249</f>
        <v>13484794.205999987</v>
      </c>
      <c r="Q296" s="115"/>
      <c r="R296" s="387">
        <f>+R294+R249</f>
        <v>319907.40461111045</v>
      </c>
      <c r="S296" s="387">
        <f>+S294+S249</f>
        <v>13266609.359388877</v>
      </c>
      <c r="T296" s="387">
        <f>+T294+T249</f>
        <v>261869.69105555577</v>
      </c>
      <c r="W296" s="116"/>
    </row>
    <row r="297" spans="1:23" ht="16.5" thickTop="1"/>
    <row r="298" spans="1:23">
      <c r="A298" s="97"/>
      <c r="B298" s="98" t="s">
        <v>517</v>
      </c>
      <c r="C298" s="98" t="s">
        <v>433</v>
      </c>
      <c r="D298" s="98">
        <v>790</v>
      </c>
      <c r="E298" s="98" t="s">
        <v>2600</v>
      </c>
      <c r="F298" s="98" t="s">
        <v>396</v>
      </c>
      <c r="G298" s="159">
        <v>41093</v>
      </c>
      <c r="H298" s="114">
        <v>26</v>
      </c>
      <c r="I298" s="114">
        <v>10</v>
      </c>
      <c r="J298" s="113">
        <v>2007</v>
      </c>
      <c r="K298" s="98" t="s">
        <v>30</v>
      </c>
      <c r="L298" s="98" t="s">
        <v>2598</v>
      </c>
      <c r="M298" s="98" t="s">
        <v>349</v>
      </c>
      <c r="N298" s="112">
        <v>36839.279999999999</v>
      </c>
      <c r="Q298" s="97">
        <v>3</v>
      </c>
      <c r="R298" s="112">
        <f t="shared" ref="R298:R323" si="57">(((N298)-1)/3)/12</f>
        <v>1023.2855555555556</v>
      </c>
      <c r="S298" s="111">
        <f t="shared" ref="S298" si="58">R298*W298</f>
        <v>21488.996666666666</v>
      </c>
      <c r="T298" s="111">
        <f t="shared" ref="T298:T321" si="59">N298-S298</f>
        <v>15350.283333333333</v>
      </c>
      <c r="U298" s="97">
        <v>17212</v>
      </c>
      <c r="W298" s="121">
        <f t="shared" ref="W298:W321" si="60">IF((DATEDIF(G298,W$4,"m"))&gt;=36,36,(DATEDIF(G298,W$4,"m")))</f>
        <v>21</v>
      </c>
    </row>
    <row r="299" spans="1:23">
      <c r="A299" s="97"/>
      <c r="B299" s="98" t="s">
        <v>517</v>
      </c>
      <c r="C299" s="98" t="s">
        <v>433</v>
      </c>
      <c r="D299" s="98">
        <v>790</v>
      </c>
      <c r="E299" s="98" t="s">
        <v>2601</v>
      </c>
      <c r="F299" s="98" t="s">
        <v>396</v>
      </c>
      <c r="G299" s="159">
        <v>41093</v>
      </c>
      <c r="H299" s="114">
        <v>26</v>
      </c>
      <c r="I299" s="114">
        <v>10</v>
      </c>
      <c r="J299" s="113">
        <v>2007</v>
      </c>
      <c r="K299" s="98" t="s">
        <v>30</v>
      </c>
      <c r="L299" s="98" t="s">
        <v>2598</v>
      </c>
      <c r="M299" s="98" t="s">
        <v>349</v>
      </c>
      <c r="N299" s="112">
        <v>36839.279999999999</v>
      </c>
      <c r="Q299" s="97">
        <v>3</v>
      </c>
      <c r="R299" s="112">
        <f t="shared" si="57"/>
        <v>1023.2855555555556</v>
      </c>
      <c r="S299" s="111">
        <f t="shared" ref="S299:S308" si="61">R299*W299</f>
        <v>21488.996666666666</v>
      </c>
      <c r="T299" s="111">
        <f t="shared" si="59"/>
        <v>15350.283333333333</v>
      </c>
      <c r="U299" s="97">
        <v>17212</v>
      </c>
      <c r="W299" s="121">
        <f t="shared" si="60"/>
        <v>21</v>
      </c>
    </row>
    <row r="300" spans="1:23">
      <c r="A300" s="97"/>
      <c r="B300" s="98" t="s">
        <v>517</v>
      </c>
      <c r="C300" s="98" t="s">
        <v>433</v>
      </c>
      <c r="D300" s="98">
        <v>790</v>
      </c>
      <c r="E300" s="98" t="s">
        <v>2602</v>
      </c>
      <c r="F300" s="98" t="s">
        <v>396</v>
      </c>
      <c r="G300" s="159">
        <v>41093</v>
      </c>
      <c r="H300" s="114">
        <v>26</v>
      </c>
      <c r="I300" s="114">
        <v>10</v>
      </c>
      <c r="J300" s="113">
        <v>2007</v>
      </c>
      <c r="K300" s="98" t="s">
        <v>30</v>
      </c>
      <c r="L300" s="98" t="s">
        <v>2598</v>
      </c>
      <c r="M300" s="98" t="s">
        <v>349</v>
      </c>
      <c r="N300" s="112">
        <v>36839.279999999999</v>
      </c>
      <c r="Q300" s="97">
        <v>3</v>
      </c>
      <c r="R300" s="112">
        <f t="shared" si="57"/>
        <v>1023.2855555555556</v>
      </c>
      <c r="S300" s="111">
        <f t="shared" si="61"/>
        <v>21488.996666666666</v>
      </c>
      <c r="T300" s="111">
        <f t="shared" si="59"/>
        <v>15350.283333333333</v>
      </c>
      <c r="U300" s="97">
        <v>17212</v>
      </c>
      <c r="W300" s="121">
        <f t="shared" si="60"/>
        <v>21</v>
      </c>
    </row>
    <row r="301" spans="1:23">
      <c r="A301" s="97"/>
      <c r="B301" s="98" t="s">
        <v>517</v>
      </c>
      <c r="C301" s="98" t="s">
        <v>433</v>
      </c>
      <c r="D301" s="98">
        <v>790</v>
      </c>
      <c r="E301" s="98" t="s">
        <v>2603</v>
      </c>
      <c r="F301" s="98" t="s">
        <v>396</v>
      </c>
      <c r="G301" s="159">
        <v>41093</v>
      </c>
      <c r="H301" s="114">
        <v>26</v>
      </c>
      <c r="I301" s="114">
        <v>10</v>
      </c>
      <c r="J301" s="113">
        <v>2007</v>
      </c>
      <c r="K301" s="98" t="s">
        <v>30</v>
      </c>
      <c r="L301" s="98" t="s">
        <v>2598</v>
      </c>
      <c r="M301" s="98" t="s">
        <v>349</v>
      </c>
      <c r="N301" s="112">
        <v>36839.279999999999</v>
      </c>
      <c r="Q301" s="97">
        <v>3</v>
      </c>
      <c r="R301" s="112">
        <f t="shared" si="57"/>
        <v>1023.2855555555556</v>
      </c>
      <c r="S301" s="111">
        <f t="shared" si="61"/>
        <v>21488.996666666666</v>
      </c>
      <c r="T301" s="111">
        <f t="shared" si="59"/>
        <v>15350.283333333333</v>
      </c>
      <c r="U301" s="97">
        <v>17212</v>
      </c>
      <c r="W301" s="121">
        <f t="shared" si="60"/>
        <v>21</v>
      </c>
    </row>
    <row r="302" spans="1:23">
      <c r="A302" s="97"/>
      <c r="B302" s="98" t="s">
        <v>517</v>
      </c>
      <c r="C302" s="98" t="s">
        <v>433</v>
      </c>
      <c r="D302" s="98">
        <v>790</v>
      </c>
      <c r="E302" s="98" t="s">
        <v>2604</v>
      </c>
      <c r="F302" s="98" t="s">
        <v>396</v>
      </c>
      <c r="G302" s="159">
        <v>41093</v>
      </c>
      <c r="H302" s="114">
        <v>26</v>
      </c>
      <c r="I302" s="114">
        <v>10</v>
      </c>
      <c r="J302" s="113">
        <v>2007</v>
      </c>
      <c r="K302" s="98" t="s">
        <v>30</v>
      </c>
      <c r="L302" s="98" t="s">
        <v>2598</v>
      </c>
      <c r="M302" s="98" t="s">
        <v>349</v>
      </c>
      <c r="N302" s="112">
        <v>36839.279999999999</v>
      </c>
      <c r="Q302" s="97">
        <v>3</v>
      </c>
      <c r="R302" s="112">
        <f t="shared" si="57"/>
        <v>1023.2855555555556</v>
      </c>
      <c r="S302" s="111">
        <f t="shared" si="61"/>
        <v>21488.996666666666</v>
      </c>
      <c r="T302" s="111">
        <f t="shared" si="59"/>
        <v>15350.283333333333</v>
      </c>
      <c r="U302" s="97">
        <v>17212</v>
      </c>
      <c r="W302" s="121">
        <f t="shared" si="60"/>
        <v>21</v>
      </c>
    </row>
    <row r="303" spans="1:23">
      <c r="A303" s="97"/>
      <c r="B303" s="98" t="s">
        <v>517</v>
      </c>
      <c r="C303" s="98" t="s">
        <v>433</v>
      </c>
      <c r="D303" s="98">
        <v>790</v>
      </c>
      <c r="E303" s="98" t="s">
        <v>2605</v>
      </c>
      <c r="F303" s="98" t="s">
        <v>396</v>
      </c>
      <c r="G303" s="159">
        <v>41093</v>
      </c>
      <c r="H303" s="114">
        <v>26</v>
      </c>
      <c r="I303" s="114">
        <v>10</v>
      </c>
      <c r="J303" s="113">
        <v>2007</v>
      </c>
      <c r="K303" s="98" t="s">
        <v>30</v>
      </c>
      <c r="L303" s="98" t="s">
        <v>2598</v>
      </c>
      <c r="M303" s="98" t="s">
        <v>349</v>
      </c>
      <c r="N303" s="112">
        <v>36839.279999999999</v>
      </c>
      <c r="Q303" s="97">
        <v>3</v>
      </c>
      <c r="R303" s="112">
        <f t="shared" si="57"/>
        <v>1023.2855555555556</v>
      </c>
      <c r="S303" s="111">
        <f t="shared" si="61"/>
        <v>21488.996666666666</v>
      </c>
      <c r="T303" s="111">
        <f t="shared" si="59"/>
        <v>15350.283333333333</v>
      </c>
      <c r="U303" s="97">
        <v>17212</v>
      </c>
      <c r="W303" s="121">
        <f t="shared" si="60"/>
        <v>21</v>
      </c>
    </row>
    <row r="304" spans="1:23">
      <c r="A304" s="97"/>
      <c r="B304" s="98" t="s">
        <v>517</v>
      </c>
      <c r="C304" s="98" t="s">
        <v>433</v>
      </c>
      <c r="D304" s="98">
        <v>790</v>
      </c>
      <c r="E304" s="98" t="s">
        <v>2606</v>
      </c>
      <c r="F304" s="98" t="s">
        <v>396</v>
      </c>
      <c r="G304" s="159">
        <v>41093</v>
      </c>
      <c r="H304" s="114">
        <v>26</v>
      </c>
      <c r="I304" s="114">
        <v>10</v>
      </c>
      <c r="J304" s="113">
        <v>2007</v>
      </c>
      <c r="K304" s="98" t="s">
        <v>30</v>
      </c>
      <c r="L304" s="98" t="s">
        <v>2598</v>
      </c>
      <c r="M304" s="98" t="s">
        <v>349</v>
      </c>
      <c r="N304" s="112">
        <v>36839.279999999999</v>
      </c>
      <c r="Q304" s="97">
        <v>3</v>
      </c>
      <c r="R304" s="112">
        <f t="shared" si="57"/>
        <v>1023.2855555555556</v>
      </c>
      <c r="S304" s="111">
        <f t="shared" si="61"/>
        <v>21488.996666666666</v>
      </c>
      <c r="T304" s="111">
        <f t="shared" si="59"/>
        <v>15350.283333333333</v>
      </c>
      <c r="U304" s="97">
        <v>17212</v>
      </c>
      <c r="W304" s="121">
        <f t="shared" si="60"/>
        <v>21</v>
      </c>
    </row>
    <row r="305" spans="1:23">
      <c r="A305" s="97"/>
      <c r="B305" s="98" t="s">
        <v>517</v>
      </c>
      <c r="C305" s="98" t="s">
        <v>433</v>
      </c>
      <c r="D305" s="98">
        <v>790</v>
      </c>
      <c r="E305" s="98" t="s">
        <v>2607</v>
      </c>
      <c r="F305" s="98" t="s">
        <v>396</v>
      </c>
      <c r="G305" s="159">
        <v>41093</v>
      </c>
      <c r="H305" s="114">
        <v>26</v>
      </c>
      <c r="I305" s="114">
        <v>10</v>
      </c>
      <c r="J305" s="113">
        <v>2007</v>
      </c>
      <c r="K305" s="98" t="s">
        <v>30</v>
      </c>
      <c r="L305" s="98" t="s">
        <v>2598</v>
      </c>
      <c r="M305" s="98" t="s">
        <v>349</v>
      </c>
      <c r="N305" s="112">
        <v>36839.279999999999</v>
      </c>
      <c r="Q305" s="97">
        <v>3</v>
      </c>
      <c r="R305" s="112">
        <f t="shared" si="57"/>
        <v>1023.2855555555556</v>
      </c>
      <c r="S305" s="111">
        <f t="shared" si="61"/>
        <v>21488.996666666666</v>
      </c>
      <c r="T305" s="111">
        <f t="shared" si="59"/>
        <v>15350.283333333333</v>
      </c>
      <c r="U305" s="97">
        <v>17212</v>
      </c>
      <c r="W305" s="121">
        <f t="shared" si="60"/>
        <v>21</v>
      </c>
    </row>
    <row r="306" spans="1:23">
      <c r="A306" s="97"/>
      <c r="B306" s="98" t="s">
        <v>517</v>
      </c>
      <c r="C306" s="98" t="s">
        <v>433</v>
      </c>
      <c r="D306" s="98">
        <v>790</v>
      </c>
      <c r="E306" s="98" t="s">
        <v>2608</v>
      </c>
      <c r="F306" s="98" t="s">
        <v>396</v>
      </c>
      <c r="G306" s="159">
        <v>41093</v>
      </c>
      <c r="H306" s="114">
        <v>26</v>
      </c>
      <c r="I306" s="114">
        <v>10</v>
      </c>
      <c r="J306" s="113">
        <v>2007</v>
      </c>
      <c r="K306" s="98" t="s">
        <v>30</v>
      </c>
      <c r="L306" s="98" t="s">
        <v>2598</v>
      </c>
      <c r="M306" s="98" t="s">
        <v>349</v>
      </c>
      <c r="N306" s="112">
        <v>36839.279999999999</v>
      </c>
      <c r="Q306" s="97">
        <v>3</v>
      </c>
      <c r="R306" s="112">
        <f t="shared" si="57"/>
        <v>1023.2855555555556</v>
      </c>
      <c r="S306" s="111">
        <f t="shared" si="61"/>
        <v>21488.996666666666</v>
      </c>
      <c r="T306" s="111">
        <f t="shared" si="59"/>
        <v>15350.283333333333</v>
      </c>
      <c r="U306" s="97">
        <v>17212</v>
      </c>
      <c r="W306" s="121">
        <f t="shared" si="60"/>
        <v>21</v>
      </c>
    </row>
    <row r="307" spans="1:23">
      <c r="A307" s="97"/>
      <c r="B307" s="98" t="s">
        <v>517</v>
      </c>
      <c r="C307" s="98" t="s">
        <v>433</v>
      </c>
      <c r="D307" s="98">
        <v>790</v>
      </c>
      <c r="E307" s="98" t="s">
        <v>2609</v>
      </c>
      <c r="F307" s="98" t="s">
        <v>396</v>
      </c>
      <c r="G307" s="159">
        <v>41093</v>
      </c>
      <c r="H307" s="114">
        <v>26</v>
      </c>
      <c r="I307" s="114">
        <v>10</v>
      </c>
      <c r="J307" s="113">
        <v>2007</v>
      </c>
      <c r="K307" s="98" t="s">
        <v>30</v>
      </c>
      <c r="L307" s="98" t="s">
        <v>2598</v>
      </c>
      <c r="M307" s="98" t="s">
        <v>349</v>
      </c>
      <c r="N307" s="112">
        <v>36839.279999999999</v>
      </c>
      <c r="P307" s="252"/>
      <c r="Q307" s="97">
        <v>3</v>
      </c>
      <c r="R307" s="112">
        <f t="shared" si="57"/>
        <v>1023.2855555555556</v>
      </c>
      <c r="S307" s="111">
        <f t="shared" si="61"/>
        <v>21488.996666666666</v>
      </c>
      <c r="T307" s="111">
        <f t="shared" si="59"/>
        <v>15350.283333333333</v>
      </c>
      <c r="U307" s="97">
        <v>17212</v>
      </c>
      <c r="W307" s="121">
        <f t="shared" si="60"/>
        <v>21</v>
      </c>
    </row>
    <row r="308" spans="1:23">
      <c r="A308" s="97"/>
      <c r="B308" s="97" t="s">
        <v>2599</v>
      </c>
      <c r="C308" s="98" t="s">
        <v>433</v>
      </c>
      <c r="E308" s="98" t="s">
        <v>2610</v>
      </c>
      <c r="F308" s="98" t="s">
        <v>396</v>
      </c>
      <c r="G308" s="159">
        <v>41093</v>
      </c>
      <c r="H308" s="114">
        <v>26</v>
      </c>
      <c r="I308" s="114">
        <v>10</v>
      </c>
      <c r="J308" s="113">
        <v>2007</v>
      </c>
      <c r="K308" s="98" t="s">
        <v>30</v>
      </c>
      <c r="L308" s="98" t="s">
        <v>2598</v>
      </c>
      <c r="M308" s="98" t="s">
        <v>349</v>
      </c>
      <c r="N308" s="137">
        <v>4060</v>
      </c>
      <c r="P308" s="252"/>
      <c r="Q308" s="97">
        <v>3</v>
      </c>
      <c r="R308" s="112">
        <f t="shared" si="57"/>
        <v>112.75</v>
      </c>
      <c r="S308" s="111">
        <f t="shared" si="61"/>
        <v>2367.75</v>
      </c>
      <c r="T308" s="111">
        <f t="shared" si="59"/>
        <v>1692.25</v>
      </c>
      <c r="U308" s="97">
        <v>17212</v>
      </c>
      <c r="W308" s="121">
        <f t="shared" si="60"/>
        <v>21</v>
      </c>
    </row>
    <row r="309" spans="1:23">
      <c r="A309" s="97"/>
      <c r="B309" s="97" t="s">
        <v>2599</v>
      </c>
      <c r="C309" s="98" t="s">
        <v>433</v>
      </c>
      <c r="E309" s="98" t="s">
        <v>2611</v>
      </c>
      <c r="F309" s="98" t="s">
        <v>396</v>
      </c>
      <c r="G309" s="159">
        <v>41093</v>
      </c>
      <c r="H309" s="114">
        <v>26</v>
      </c>
      <c r="I309" s="114">
        <v>10</v>
      </c>
      <c r="J309" s="113">
        <v>2007</v>
      </c>
      <c r="K309" s="98" t="s">
        <v>30</v>
      </c>
      <c r="L309" s="98" t="s">
        <v>2598</v>
      </c>
      <c r="M309" s="98" t="s">
        <v>349</v>
      </c>
      <c r="N309" s="137">
        <v>4060</v>
      </c>
      <c r="P309" s="252"/>
      <c r="Q309" s="97">
        <v>3</v>
      </c>
      <c r="R309" s="112">
        <f t="shared" si="57"/>
        <v>112.75</v>
      </c>
      <c r="S309" s="111">
        <f t="shared" ref="S309:S316" si="62">R309*W309</f>
        <v>2367.75</v>
      </c>
      <c r="T309" s="111">
        <f t="shared" si="59"/>
        <v>1692.25</v>
      </c>
      <c r="U309" s="97">
        <v>17212</v>
      </c>
      <c r="W309" s="121">
        <f t="shared" si="60"/>
        <v>21</v>
      </c>
    </row>
    <row r="310" spans="1:23">
      <c r="A310" s="97"/>
      <c r="B310" s="97" t="s">
        <v>2599</v>
      </c>
      <c r="C310" s="98" t="s">
        <v>433</v>
      </c>
      <c r="E310" s="98" t="s">
        <v>2612</v>
      </c>
      <c r="F310" s="98" t="s">
        <v>396</v>
      </c>
      <c r="G310" s="159">
        <v>41093</v>
      </c>
      <c r="H310" s="114">
        <v>26</v>
      </c>
      <c r="I310" s="114">
        <v>10</v>
      </c>
      <c r="J310" s="113">
        <v>2007</v>
      </c>
      <c r="K310" s="98" t="s">
        <v>30</v>
      </c>
      <c r="L310" s="98" t="s">
        <v>2598</v>
      </c>
      <c r="M310" s="98" t="s">
        <v>349</v>
      </c>
      <c r="N310" s="137">
        <v>4060</v>
      </c>
      <c r="P310" s="252"/>
      <c r="Q310" s="97">
        <v>3</v>
      </c>
      <c r="R310" s="112">
        <f t="shared" si="57"/>
        <v>112.75</v>
      </c>
      <c r="S310" s="111">
        <f t="shared" si="62"/>
        <v>2367.75</v>
      </c>
      <c r="T310" s="111">
        <f t="shared" si="59"/>
        <v>1692.25</v>
      </c>
      <c r="U310" s="97">
        <v>17212</v>
      </c>
      <c r="W310" s="121">
        <f t="shared" si="60"/>
        <v>21</v>
      </c>
    </row>
    <row r="311" spans="1:23">
      <c r="A311" s="97"/>
      <c r="B311" s="97" t="s">
        <v>2599</v>
      </c>
      <c r="C311" s="98" t="s">
        <v>433</v>
      </c>
      <c r="E311" s="98" t="s">
        <v>2613</v>
      </c>
      <c r="F311" s="98" t="s">
        <v>396</v>
      </c>
      <c r="G311" s="159">
        <v>41093</v>
      </c>
      <c r="H311" s="114">
        <v>26</v>
      </c>
      <c r="I311" s="114">
        <v>10</v>
      </c>
      <c r="J311" s="113">
        <v>2007</v>
      </c>
      <c r="K311" s="98" t="s">
        <v>30</v>
      </c>
      <c r="L311" s="98" t="s">
        <v>2598</v>
      </c>
      <c r="M311" s="98" t="s">
        <v>349</v>
      </c>
      <c r="N311" s="137">
        <v>4060</v>
      </c>
      <c r="P311" s="252"/>
      <c r="Q311" s="97">
        <v>3</v>
      </c>
      <c r="R311" s="112">
        <f t="shared" si="57"/>
        <v>112.75</v>
      </c>
      <c r="S311" s="111">
        <f t="shared" si="62"/>
        <v>2367.75</v>
      </c>
      <c r="T311" s="111">
        <f t="shared" si="59"/>
        <v>1692.25</v>
      </c>
      <c r="U311" s="97">
        <v>17212</v>
      </c>
      <c r="W311" s="121">
        <f t="shared" si="60"/>
        <v>21</v>
      </c>
    </row>
    <row r="312" spans="1:23">
      <c r="A312" s="97"/>
      <c r="B312" s="97" t="s">
        <v>2599</v>
      </c>
      <c r="C312" s="98" t="s">
        <v>433</v>
      </c>
      <c r="E312" s="98" t="s">
        <v>2614</v>
      </c>
      <c r="F312" s="98" t="s">
        <v>396</v>
      </c>
      <c r="G312" s="159">
        <v>41093</v>
      </c>
      <c r="H312" s="114">
        <v>26</v>
      </c>
      <c r="I312" s="114">
        <v>10</v>
      </c>
      <c r="J312" s="113">
        <v>2007</v>
      </c>
      <c r="K312" s="98" t="s">
        <v>30</v>
      </c>
      <c r="L312" s="98" t="s">
        <v>2598</v>
      </c>
      <c r="M312" s="98" t="s">
        <v>349</v>
      </c>
      <c r="N312" s="137">
        <v>4060</v>
      </c>
      <c r="P312" s="252"/>
      <c r="Q312" s="97">
        <v>3</v>
      </c>
      <c r="R312" s="112">
        <f t="shared" si="57"/>
        <v>112.75</v>
      </c>
      <c r="S312" s="111">
        <f t="shared" si="62"/>
        <v>2367.75</v>
      </c>
      <c r="T312" s="111">
        <f t="shared" si="59"/>
        <v>1692.25</v>
      </c>
      <c r="U312" s="97">
        <v>17212</v>
      </c>
      <c r="W312" s="121">
        <f t="shared" si="60"/>
        <v>21</v>
      </c>
    </row>
    <row r="313" spans="1:23">
      <c r="A313" s="97"/>
      <c r="B313" s="97" t="s">
        <v>2599</v>
      </c>
      <c r="C313" s="98" t="s">
        <v>433</v>
      </c>
      <c r="E313" s="98" t="s">
        <v>2615</v>
      </c>
      <c r="F313" s="98" t="s">
        <v>396</v>
      </c>
      <c r="G313" s="159">
        <v>41093</v>
      </c>
      <c r="H313" s="114">
        <v>26</v>
      </c>
      <c r="I313" s="114">
        <v>10</v>
      </c>
      <c r="J313" s="113">
        <v>2007</v>
      </c>
      <c r="K313" s="98" t="s">
        <v>30</v>
      </c>
      <c r="L313" s="98" t="s">
        <v>2598</v>
      </c>
      <c r="M313" s="98" t="s">
        <v>349</v>
      </c>
      <c r="N313" s="137">
        <v>4060</v>
      </c>
      <c r="P313" s="252"/>
      <c r="Q313" s="97">
        <v>3</v>
      </c>
      <c r="R313" s="112">
        <f t="shared" si="57"/>
        <v>112.75</v>
      </c>
      <c r="S313" s="111">
        <f t="shared" si="62"/>
        <v>2367.75</v>
      </c>
      <c r="T313" s="111">
        <f t="shared" si="59"/>
        <v>1692.25</v>
      </c>
      <c r="U313" s="97">
        <v>17212</v>
      </c>
      <c r="W313" s="121">
        <f t="shared" si="60"/>
        <v>21</v>
      </c>
    </row>
    <row r="314" spans="1:23">
      <c r="A314" s="97"/>
      <c r="B314" s="97" t="s">
        <v>2599</v>
      </c>
      <c r="C314" s="98" t="s">
        <v>433</v>
      </c>
      <c r="E314" s="98" t="s">
        <v>2616</v>
      </c>
      <c r="F314" s="98" t="s">
        <v>396</v>
      </c>
      <c r="G314" s="159">
        <v>41093</v>
      </c>
      <c r="H314" s="114">
        <v>26</v>
      </c>
      <c r="I314" s="114">
        <v>10</v>
      </c>
      <c r="J314" s="113">
        <v>2007</v>
      </c>
      <c r="K314" s="98" t="s">
        <v>30</v>
      </c>
      <c r="L314" s="98" t="s">
        <v>2598</v>
      </c>
      <c r="M314" s="98" t="s">
        <v>349</v>
      </c>
      <c r="N314" s="137">
        <v>4060</v>
      </c>
      <c r="P314" s="252"/>
      <c r="Q314" s="97">
        <v>3</v>
      </c>
      <c r="R314" s="112">
        <f t="shared" si="57"/>
        <v>112.75</v>
      </c>
      <c r="S314" s="111">
        <f t="shared" si="62"/>
        <v>2367.75</v>
      </c>
      <c r="T314" s="111">
        <f t="shared" si="59"/>
        <v>1692.25</v>
      </c>
      <c r="U314" s="97">
        <v>17212</v>
      </c>
      <c r="W314" s="121">
        <f t="shared" si="60"/>
        <v>21</v>
      </c>
    </row>
    <row r="315" spans="1:23">
      <c r="A315" s="97"/>
      <c r="B315" s="97" t="s">
        <v>2599</v>
      </c>
      <c r="C315" s="98" t="s">
        <v>433</v>
      </c>
      <c r="E315" s="98" t="s">
        <v>2617</v>
      </c>
      <c r="F315" s="98" t="s">
        <v>396</v>
      </c>
      <c r="G315" s="159">
        <v>41093</v>
      </c>
      <c r="H315" s="114">
        <v>26</v>
      </c>
      <c r="I315" s="114">
        <v>10</v>
      </c>
      <c r="J315" s="113">
        <v>2007</v>
      </c>
      <c r="K315" s="98" t="s">
        <v>30</v>
      </c>
      <c r="L315" s="98" t="s">
        <v>2598</v>
      </c>
      <c r="M315" s="98" t="s">
        <v>349</v>
      </c>
      <c r="N315" s="137">
        <v>4060</v>
      </c>
      <c r="P315" s="252"/>
      <c r="Q315" s="97">
        <v>3</v>
      </c>
      <c r="R315" s="112">
        <f t="shared" si="57"/>
        <v>112.75</v>
      </c>
      <c r="S315" s="111">
        <f t="shared" si="62"/>
        <v>2367.75</v>
      </c>
      <c r="T315" s="111">
        <f t="shared" si="59"/>
        <v>1692.25</v>
      </c>
      <c r="U315" s="97">
        <v>17212</v>
      </c>
      <c r="W315" s="121">
        <f t="shared" si="60"/>
        <v>21</v>
      </c>
    </row>
    <row r="316" spans="1:23">
      <c r="A316" s="97"/>
      <c r="B316" s="97" t="s">
        <v>2599</v>
      </c>
      <c r="C316" s="98" t="s">
        <v>433</v>
      </c>
      <c r="E316" s="98" t="s">
        <v>2618</v>
      </c>
      <c r="F316" s="98" t="s">
        <v>396</v>
      </c>
      <c r="G316" s="159">
        <v>41093</v>
      </c>
      <c r="H316" s="114">
        <v>26</v>
      </c>
      <c r="I316" s="114">
        <v>10</v>
      </c>
      <c r="J316" s="113">
        <v>2007</v>
      </c>
      <c r="K316" s="98" t="s">
        <v>30</v>
      </c>
      <c r="L316" s="98" t="s">
        <v>2598</v>
      </c>
      <c r="M316" s="98" t="s">
        <v>349</v>
      </c>
      <c r="N316" s="137">
        <v>4060</v>
      </c>
      <c r="P316" s="252"/>
      <c r="Q316" s="97">
        <v>3</v>
      </c>
      <c r="R316" s="112">
        <f t="shared" si="57"/>
        <v>112.75</v>
      </c>
      <c r="S316" s="111">
        <f t="shared" si="62"/>
        <v>2367.75</v>
      </c>
      <c r="T316" s="111">
        <f t="shared" si="59"/>
        <v>1692.25</v>
      </c>
      <c r="U316" s="97">
        <v>17212</v>
      </c>
      <c r="W316" s="121">
        <f t="shared" si="60"/>
        <v>21</v>
      </c>
    </row>
    <row r="317" spans="1:23">
      <c r="B317" s="97" t="s">
        <v>2599</v>
      </c>
      <c r="C317" s="98" t="s">
        <v>433</v>
      </c>
      <c r="E317" s="98" t="s">
        <v>2619</v>
      </c>
      <c r="F317" s="98" t="s">
        <v>396</v>
      </c>
      <c r="G317" s="159">
        <v>41093</v>
      </c>
      <c r="H317" s="114">
        <v>26</v>
      </c>
      <c r="I317" s="114">
        <v>10</v>
      </c>
      <c r="J317" s="113">
        <v>2007</v>
      </c>
      <c r="K317" s="98" t="s">
        <v>30</v>
      </c>
      <c r="L317" s="98" t="s">
        <v>2598</v>
      </c>
      <c r="M317" s="98" t="s">
        <v>349</v>
      </c>
      <c r="N317" s="137">
        <v>4060</v>
      </c>
      <c r="P317" s="252"/>
      <c r="Q317" s="97">
        <v>3</v>
      </c>
      <c r="R317" s="112">
        <f t="shared" si="57"/>
        <v>112.75</v>
      </c>
      <c r="S317" s="111">
        <f t="shared" ref="S317" si="63">R317*W317</f>
        <v>2367.75</v>
      </c>
      <c r="T317" s="111">
        <f t="shared" si="59"/>
        <v>1692.25</v>
      </c>
      <c r="U317" s="97">
        <v>17212</v>
      </c>
      <c r="W317" s="121">
        <f t="shared" si="60"/>
        <v>21</v>
      </c>
    </row>
    <row r="318" spans="1:23">
      <c r="B318" s="98" t="s">
        <v>2620</v>
      </c>
      <c r="C318" s="98" t="s">
        <v>2621</v>
      </c>
      <c r="D318" s="98">
        <v>35439</v>
      </c>
      <c r="F318" s="98" t="s">
        <v>396</v>
      </c>
      <c r="G318" s="159">
        <v>41093</v>
      </c>
      <c r="H318" s="114">
        <v>26</v>
      </c>
      <c r="I318" s="114">
        <v>10</v>
      </c>
      <c r="J318" s="113">
        <v>2007</v>
      </c>
      <c r="K318" s="98" t="s">
        <v>30</v>
      </c>
      <c r="L318" s="98" t="s">
        <v>2598</v>
      </c>
      <c r="M318" s="98" t="s">
        <v>349</v>
      </c>
      <c r="N318" s="137">
        <v>46977.68</v>
      </c>
      <c r="P318" s="252"/>
      <c r="Q318" s="97">
        <v>3</v>
      </c>
      <c r="R318" s="112">
        <f t="shared" si="57"/>
        <v>1304.9077777777777</v>
      </c>
      <c r="S318" s="111">
        <f t="shared" ref="S318" si="64">R318*W318</f>
        <v>27403.063333333332</v>
      </c>
      <c r="T318" s="111">
        <f t="shared" si="59"/>
        <v>19574.616666666669</v>
      </c>
      <c r="U318" s="97">
        <v>17212</v>
      </c>
      <c r="W318" s="121">
        <f t="shared" si="60"/>
        <v>21</v>
      </c>
    </row>
    <row r="319" spans="1:23">
      <c r="A319" s="98" t="s">
        <v>2629</v>
      </c>
      <c r="B319" s="98" t="s">
        <v>2620</v>
      </c>
      <c r="C319" s="98" t="s">
        <v>2621</v>
      </c>
      <c r="D319" s="98">
        <v>35439</v>
      </c>
      <c r="F319" s="98" t="s">
        <v>396</v>
      </c>
      <c r="G319" s="159">
        <v>41093</v>
      </c>
      <c r="H319" s="114">
        <v>26</v>
      </c>
      <c r="I319" s="114">
        <v>10</v>
      </c>
      <c r="J319" s="113">
        <v>2007</v>
      </c>
      <c r="K319" s="98" t="s">
        <v>30</v>
      </c>
      <c r="L319" s="98" t="s">
        <v>2598</v>
      </c>
      <c r="M319" s="98" t="s">
        <v>349</v>
      </c>
      <c r="N319" s="137">
        <v>46977.68</v>
      </c>
      <c r="P319" s="252"/>
      <c r="Q319" s="97">
        <v>3</v>
      </c>
      <c r="R319" s="112">
        <f t="shared" si="57"/>
        <v>1304.9077777777777</v>
      </c>
      <c r="S319" s="111">
        <f t="shared" ref="S319:S323" si="65">R319*W319</f>
        <v>27403.063333333332</v>
      </c>
      <c r="T319" s="111">
        <f t="shared" si="59"/>
        <v>19574.616666666669</v>
      </c>
      <c r="U319" s="97">
        <v>17212</v>
      </c>
      <c r="W319" s="121">
        <f t="shared" si="60"/>
        <v>21</v>
      </c>
    </row>
    <row r="320" spans="1:23">
      <c r="B320" s="160" t="s">
        <v>2623</v>
      </c>
      <c r="C320" s="98" t="s">
        <v>2622</v>
      </c>
      <c r="D320" s="98" t="s">
        <v>2624</v>
      </c>
      <c r="E320" s="98" t="s">
        <v>2628</v>
      </c>
      <c r="F320" s="98" t="s">
        <v>396</v>
      </c>
      <c r="G320" s="159">
        <v>41120</v>
      </c>
      <c r="K320" s="98" t="s">
        <v>30</v>
      </c>
      <c r="L320" s="98" t="s">
        <v>2627</v>
      </c>
      <c r="M320" s="98" t="s">
        <v>349</v>
      </c>
      <c r="N320" s="112">
        <v>23223.200000000001</v>
      </c>
      <c r="Q320" s="109">
        <v>3</v>
      </c>
      <c r="R320" s="112">
        <f t="shared" si="57"/>
        <v>645.06111111111113</v>
      </c>
      <c r="S320" s="111">
        <f t="shared" si="65"/>
        <v>13546.283333333333</v>
      </c>
      <c r="T320" s="111">
        <f t="shared" si="59"/>
        <v>9676.9166666666679</v>
      </c>
      <c r="U320" s="97">
        <v>17320</v>
      </c>
      <c r="W320" s="121">
        <f t="shared" si="60"/>
        <v>21</v>
      </c>
    </row>
    <row r="321" spans="1:23" ht="31.5">
      <c r="B321" s="160" t="s">
        <v>2625</v>
      </c>
      <c r="C321" s="160"/>
      <c r="D321" s="160" t="s">
        <v>2626</v>
      </c>
      <c r="F321" s="98" t="s">
        <v>396</v>
      </c>
      <c r="G321" s="159">
        <v>41120</v>
      </c>
      <c r="K321" s="98" t="s">
        <v>30</v>
      </c>
      <c r="L321" s="98" t="s">
        <v>2627</v>
      </c>
      <c r="M321" s="98" t="s">
        <v>349</v>
      </c>
      <c r="N321" s="112">
        <v>7180.4</v>
      </c>
      <c r="Q321" s="109">
        <v>3</v>
      </c>
      <c r="R321" s="112">
        <f t="shared" si="57"/>
        <v>199.42777777777778</v>
      </c>
      <c r="S321" s="111">
        <f t="shared" si="65"/>
        <v>4187.9833333333336</v>
      </c>
      <c r="T321" s="111">
        <f t="shared" si="59"/>
        <v>2992.4166666666661</v>
      </c>
      <c r="U321" s="97">
        <v>17320</v>
      </c>
      <c r="W321" s="121">
        <f t="shared" si="60"/>
        <v>21</v>
      </c>
    </row>
    <row r="322" spans="1:23">
      <c r="B322" s="160"/>
      <c r="C322" s="160"/>
      <c r="D322" s="160"/>
      <c r="G322" s="159"/>
      <c r="W322" s="121"/>
    </row>
    <row r="323" spans="1:23">
      <c r="A323" s="97"/>
      <c r="B323" s="128" t="s">
        <v>390</v>
      </c>
      <c r="C323" s="98" t="s">
        <v>521</v>
      </c>
      <c r="D323" s="98" t="s">
        <v>2673</v>
      </c>
      <c r="E323" s="148" t="s">
        <v>2674</v>
      </c>
      <c r="F323" s="131" t="s">
        <v>356</v>
      </c>
      <c r="G323" s="139">
        <v>41190</v>
      </c>
      <c r="H323" s="114">
        <v>22</v>
      </c>
      <c r="I323" s="114">
        <v>2</v>
      </c>
      <c r="J323" s="113">
        <v>2011</v>
      </c>
      <c r="K323" s="98" t="s">
        <v>351</v>
      </c>
      <c r="L323" s="131" t="s">
        <v>2675</v>
      </c>
      <c r="M323" s="98" t="s">
        <v>349</v>
      </c>
      <c r="N323" s="134">
        <v>6440</v>
      </c>
      <c r="Q323" s="109">
        <v>3</v>
      </c>
      <c r="R323" s="112">
        <f t="shared" si="57"/>
        <v>178.86111111111111</v>
      </c>
      <c r="S323" s="111">
        <f t="shared" si="65"/>
        <v>3219.5</v>
      </c>
      <c r="T323" s="111">
        <f>N323-S323</f>
        <v>3220.5</v>
      </c>
      <c r="U323" s="437">
        <v>17565</v>
      </c>
      <c r="W323" s="121">
        <f>IF((DATEDIF(G323,W$4,"m"))&gt;=36,36,(DATEDIF(G323,W$4,"m")))</f>
        <v>18</v>
      </c>
    </row>
    <row r="324" spans="1:23">
      <c r="N324" s="386">
        <f>SUM(N298:N323)</f>
        <v>539791.76</v>
      </c>
      <c r="R324" s="386">
        <f>SUM(R298:R323)</f>
        <v>14993.521111111113</v>
      </c>
      <c r="S324" s="386">
        <f>SUM(S298:S323)</f>
        <v>314327.36000000004</v>
      </c>
      <c r="T324" s="386">
        <f t="shared" ref="T324" si="66">SUM(T298:T323)</f>
        <v>225464.39999999994</v>
      </c>
    </row>
    <row r="325" spans="1:23">
      <c r="N325" s="385"/>
      <c r="P325" s="161">
        <f>+N296+N324</f>
        <v>14024585.965999987</v>
      </c>
      <c r="R325" s="385"/>
      <c r="S325" s="385"/>
      <c r="T325" s="385"/>
    </row>
    <row r="326" spans="1:23">
      <c r="N326" s="385"/>
      <c r="R326" s="385"/>
      <c r="S326" s="385"/>
      <c r="T326" s="385"/>
    </row>
    <row r="327" spans="1:23" ht="31.5">
      <c r="B327" s="459" t="s">
        <v>2694</v>
      </c>
      <c r="F327" s="98" t="s">
        <v>2692</v>
      </c>
      <c r="G327" s="139">
        <v>41408</v>
      </c>
      <c r="K327" s="98" t="s">
        <v>30</v>
      </c>
      <c r="L327" s="160" t="s">
        <v>2693</v>
      </c>
      <c r="M327" s="98" t="s">
        <v>349</v>
      </c>
      <c r="N327" s="112">
        <v>981901.6</v>
      </c>
      <c r="Q327" s="109">
        <v>3</v>
      </c>
      <c r="R327" s="112">
        <f t="shared" ref="R327:R334" si="67">(((N327)-1)/3)/12</f>
        <v>27275.016666666666</v>
      </c>
      <c r="S327" s="111">
        <f t="shared" ref="S327" si="68">R327*W327</f>
        <v>300025.18333333335</v>
      </c>
      <c r="T327" s="111">
        <f>N327-S327</f>
        <v>681876.41666666663</v>
      </c>
      <c r="U327" s="458" t="s">
        <v>2695</v>
      </c>
      <c r="W327" s="121">
        <f>IF((DATEDIF(G327,W$4,"m"))&gt;=36,36,(DATEDIF(G327,W$4,"m")))</f>
        <v>11</v>
      </c>
    </row>
    <row r="328" spans="1:23" ht="39">
      <c r="B328" s="459" t="s">
        <v>2699</v>
      </c>
      <c r="C328" s="98" t="s">
        <v>2696</v>
      </c>
      <c r="D328" s="98" t="s">
        <v>2697</v>
      </c>
      <c r="E328" s="98" t="s">
        <v>2700</v>
      </c>
      <c r="F328" s="98" t="s">
        <v>2706</v>
      </c>
      <c r="G328" s="139">
        <v>41416</v>
      </c>
      <c r="K328" s="98" t="s">
        <v>30</v>
      </c>
      <c r="L328" s="160" t="s">
        <v>2707</v>
      </c>
      <c r="M328" s="98" t="s">
        <v>349</v>
      </c>
      <c r="N328" s="112">
        <v>62473.305899999999</v>
      </c>
      <c r="Q328" s="109">
        <v>3</v>
      </c>
      <c r="R328" s="112">
        <f t="shared" si="67"/>
        <v>1735.3418305555554</v>
      </c>
      <c r="S328" s="111">
        <f t="shared" ref="S328:S333" si="69">R328*W328</f>
        <v>19088.760136111108</v>
      </c>
      <c r="T328" s="111">
        <f t="shared" ref="T328:T333" si="70">N328-S328</f>
        <v>43384.545763888891</v>
      </c>
      <c r="U328" s="458" t="s">
        <v>2708</v>
      </c>
      <c r="W328" s="121">
        <f t="shared" ref="W328:W333" si="71">IF((DATEDIF(G328,W$4,"m"))&gt;=36,36,(DATEDIF(G328,W$4,"m")))</f>
        <v>11</v>
      </c>
    </row>
    <row r="329" spans="1:23" ht="39">
      <c r="B329" s="459" t="s">
        <v>2699</v>
      </c>
      <c r="C329" s="98" t="s">
        <v>2696</v>
      </c>
      <c r="D329" s="98" t="s">
        <v>2697</v>
      </c>
      <c r="E329" s="98" t="s">
        <v>2701</v>
      </c>
      <c r="F329" s="98" t="s">
        <v>2706</v>
      </c>
      <c r="G329" s="139">
        <v>41416</v>
      </c>
      <c r="K329" s="98" t="s">
        <v>30</v>
      </c>
      <c r="L329" s="160" t="s">
        <v>2707</v>
      </c>
      <c r="M329" s="98" t="s">
        <v>349</v>
      </c>
      <c r="N329" s="112">
        <v>62473.305899999999</v>
      </c>
      <c r="Q329" s="109">
        <v>3</v>
      </c>
      <c r="R329" s="112">
        <f t="shared" si="67"/>
        <v>1735.3418305555554</v>
      </c>
      <c r="S329" s="111">
        <f t="shared" si="69"/>
        <v>19088.760136111108</v>
      </c>
      <c r="T329" s="111">
        <f t="shared" si="70"/>
        <v>43384.545763888891</v>
      </c>
      <c r="U329" s="458" t="s">
        <v>2708</v>
      </c>
      <c r="W329" s="121">
        <f t="shared" si="71"/>
        <v>11</v>
      </c>
    </row>
    <row r="330" spans="1:23" ht="39">
      <c r="B330" s="459" t="s">
        <v>2699</v>
      </c>
      <c r="C330" s="98" t="s">
        <v>2696</v>
      </c>
      <c r="D330" s="98" t="s">
        <v>2697</v>
      </c>
      <c r="E330" s="98" t="s">
        <v>2702</v>
      </c>
      <c r="F330" s="98" t="s">
        <v>2706</v>
      </c>
      <c r="G330" s="139">
        <v>41416</v>
      </c>
      <c r="K330" s="98" t="s">
        <v>30</v>
      </c>
      <c r="L330" s="160" t="s">
        <v>2707</v>
      </c>
      <c r="M330" s="98" t="s">
        <v>349</v>
      </c>
      <c r="N330" s="112">
        <v>62473.305899999999</v>
      </c>
      <c r="Q330" s="109">
        <v>3</v>
      </c>
      <c r="R330" s="112">
        <f t="shared" si="67"/>
        <v>1735.3418305555554</v>
      </c>
      <c r="S330" s="111">
        <f t="shared" si="69"/>
        <v>19088.760136111108</v>
      </c>
      <c r="T330" s="111">
        <f t="shared" si="70"/>
        <v>43384.545763888891</v>
      </c>
      <c r="U330" s="458" t="s">
        <v>2708</v>
      </c>
      <c r="W330" s="121">
        <f t="shared" si="71"/>
        <v>11</v>
      </c>
    </row>
    <row r="331" spans="1:23" ht="39">
      <c r="B331" s="459" t="s">
        <v>2699</v>
      </c>
      <c r="C331" s="98" t="s">
        <v>2696</v>
      </c>
      <c r="D331" s="98" t="s">
        <v>2697</v>
      </c>
      <c r="E331" s="98" t="s">
        <v>2703</v>
      </c>
      <c r="F331" s="98" t="s">
        <v>2706</v>
      </c>
      <c r="G331" s="139">
        <v>41416</v>
      </c>
      <c r="K331" s="98" t="s">
        <v>30</v>
      </c>
      <c r="L331" s="160" t="s">
        <v>2707</v>
      </c>
      <c r="M331" s="98" t="s">
        <v>349</v>
      </c>
      <c r="N331" s="112">
        <v>62473.305899999999</v>
      </c>
      <c r="Q331" s="109">
        <v>3</v>
      </c>
      <c r="R331" s="112">
        <f t="shared" si="67"/>
        <v>1735.3418305555554</v>
      </c>
      <c r="S331" s="111">
        <f t="shared" si="69"/>
        <v>19088.760136111108</v>
      </c>
      <c r="T331" s="111">
        <f t="shared" si="70"/>
        <v>43384.545763888891</v>
      </c>
      <c r="U331" s="458" t="s">
        <v>2708</v>
      </c>
      <c r="W331" s="121">
        <f t="shared" si="71"/>
        <v>11</v>
      </c>
    </row>
    <row r="332" spans="1:23" ht="39">
      <c r="B332" s="459" t="s">
        <v>2699</v>
      </c>
      <c r="C332" s="98" t="s">
        <v>2696</v>
      </c>
      <c r="D332" s="98" t="s">
        <v>2697</v>
      </c>
      <c r="E332" s="98" t="s">
        <v>2704</v>
      </c>
      <c r="F332" s="98" t="s">
        <v>2706</v>
      </c>
      <c r="G332" s="139">
        <v>41416</v>
      </c>
      <c r="K332" s="98" t="s">
        <v>30</v>
      </c>
      <c r="L332" s="160" t="s">
        <v>2707</v>
      </c>
      <c r="M332" s="98" t="s">
        <v>349</v>
      </c>
      <c r="N332" s="112">
        <v>62473.305899999999</v>
      </c>
      <c r="Q332" s="109">
        <v>3</v>
      </c>
      <c r="R332" s="112">
        <f t="shared" si="67"/>
        <v>1735.3418305555554</v>
      </c>
      <c r="S332" s="111">
        <f t="shared" si="69"/>
        <v>19088.760136111108</v>
      </c>
      <c r="T332" s="111">
        <f t="shared" si="70"/>
        <v>43384.545763888891</v>
      </c>
      <c r="U332" s="458" t="s">
        <v>2708</v>
      </c>
      <c r="W332" s="121">
        <f t="shared" si="71"/>
        <v>11</v>
      </c>
    </row>
    <row r="333" spans="1:23" ht="39">
      <c r="B333" s="459" t="s">
        <v>2699</v>
      </c>
      <c r="C333" s="98" t="s">
        <v>2696</v>
      </c>
      <c r="D333" s="98" t="s">
        <v>2697</v>
      </c>
      <c r="E333" s="98" t="s">
        <v>2705</v>
      </c>
      <c r="F333" s="98" t="s">
        <v>2706</v>
      </c>
      <c r="G333" s="139">
        <v>41416</v>
      </c>
      <c r="K333" s="98" t="s">
        <v>30</v>
      </c>
      <c r="L333" s="160" t="s">
        <v>2707</v>
      </c>
      <c r="M333" s="98" t="s">
        <v>349</v>
      </c>
      <c r="N333" s="112">
        <v>62473.305899999999</v>
      </c>
      <c r="Q333" s="109">
        <v>3</v>
      </c>
      <c r="R333" s="112">
        <f t="shared" si="67"/>
        <v>1735.3418305555554</v>
      </c>
      <c r="S333" s="111">
        <f t="shared" si="69"/>
        <v>19088.760136111108</v>
      </c>
      <c r="T333" s="111">
        <f t="shared" si="70"/>
        <v>43384.545763888891</v>
      </c>
      <c r="U333" s="458" t="s">
        <v>2708</v>
      </c>
      <c r="W333" s="121">
        <f t="shared" si="71"/>
        <v>11</v>
      </c>
    </row>
    <row r="334" spans="1:23" ht="31.5">
      <c r="B334" s="459" t="s">
        <v>2709</v>
      </c>
      <c r="C334" s="459" t="s">
        <v>2710</v>
      </c>
      <c r="D334" s="98" t="s">
        <v>2711</v>
      </c>
      <c r="E334" s="98" t="s">
        <v>2712</v>
      </c>
      <c r="F334" s="131" t="s">
        <v>356</v>
      </c>
      <c r="G334" s="139">
        <v>41418</v>
      </c>
      <c r="K334" s="98" t="s">
        <v>30</v>
      </c>
      <c r="L334" s="160" t="s">
        <v>2713</v>
      </c>
      <c r="M334" s="98" t="s">
        <v>349</v>
      </c>
      <c r="N334" s="112">
        <v>42400</v>
      </c>
      <c r="Q334" s="109">
        <v>3</v>
      </c>
      <c r="R334" s="112">
        <f t="shared" si="67"/>
        <v>1177.75</v>
      </c>
      <c r="S334" s="111">
        <f t="shared" ref="S334" si="72">R334*W334</f>
        <v>12955.25</v>
      </c>
      <c r="T334" s="111">
        <f t="shared" ref="T334" si="73">N334-S334</f>
        <v>29444.75</v>
      </c>
      <c r="U334" s="458"/>
      <c r="W334" s="121">
        <f t="shared" ref="W334:W340" si="74">IF((DATEDIF(G334,W$4,"m"))&gt;=36,36,(DATEDIF(G334,W$4,"m")))</f>
        <v>11</v>
      </c>
    </row>
    <row r="335" spans="1:23">
      <c r="N335" s="386">
        <f>SUM(N327:O334)</f>
        <v>1399141.4354000001</v>
      </c>
      <c r="R335" s="386">
        <f>SUM(R327:R334)</f>
        <v>38864.817649999997</v>
      </c>
      <c r="S335" s="386">
        <f t="shared" ref="S335:T335" si="75">SUM(S327:S334)</f>
        <v>427512.99415000004</v>
      </c>
      <c r="T335" s="386">
        <f t="shared" si="75"/>
        <v>971628.4412499998</v>
      </c>
      <c r="W335" s="121">
        <f t="shared" si="74"/>
        <v>36</v>
      </c>
    </row>
    <row r="336" spans="1:23">
      <c r="B336" s="459"/>
      <c r="C336" s="459"/>
      <c r="N336" s="385"/>
      <c r="R336" s="385"/>
      <c r="S336" s="385"/>
      <c r="T336" s="385"/>
      <c r="W336" s="121">
        <f t="shared" si="74"/>
        <v>36</v>
      </c>
    </row>
    <row r="337" spans="1:24" s="182" customFormat="1">
      <c r="A337" s="185"/>
      <c r="B337" s="185" t="s">
        <v>2715</v>
      </c>
      <c r="C337" s="185" t="s">
        <v>2716</v>
      </c>
      <c r="D337" s="185" t="s">
        <v>2717</v>
      </c>
      <c r="E337" s="185" t="s">
        <v>2721</v>
      </c>
      <c r="F337" s="185" t="s">
        <v>2718</v>
      </c>
      <c r="G337" s="220">
        <v>41428</v>
      </c>
      <c r="H337" s="187">
        <v>3</v>
      </c>
      <c r="I337" s="187">
        <v>6</v>
      </c>
      <c r="J337" s="186">
        <v>2013</v>
      </c>
      <c r="K337" s="226" t="s">
        <v>30</v>
      </c>
      <c r="L337" s="226" t="s">
        <v>2719</v>
      </c>
      <c r="M337" s="226" t="s">
        <v>869</v>
      </c>
      <c r="N337" s="168">
        <v>102512.5</v>
      </c>
      <c r="O337" s="184"/>
      <c r="Q337" s="109">
        <v>3</v>
      </c>
      <c r="R337" s="112">
        <f t="shared" ref="R337:R340" si="76">(((N337)-1)/3)/12</f>
        <v>2847.5416666666665</v>
      </c>
      <c r="S337" s="111">
        <f>R337*W337</f>
        <v>28475.416666666664</v>
      </c>
      <c r="T337" s="111">
        <f t="shared" ref="T337:T340" si="77">N337-S337</f>
        <v>74037.083333333343</v>
      </c>
      <c r="U337" s="221" t="s">
        <v>2720</v>
      </c>
      <c r="V337" s="221"/>
      <c r="W337" s="121">
        <f t="shared" si="74"/>
        <v>10</v>
      </c>
      <c r="X337" s="236"/>
    </row>
    <row r="338" spans="1:24" s="182" customFormat="1">
      <c r="A338" s="185"/>
      <c r="B338" s="185" t="s">
        <v>2715</v>
      </c>
      <c r="C338" s="185" t="s">
        <v>2716</v>
      </c>
      <c r="D338" s="185" t="s">
        <v>2717</v>
      </c>
      <c r="E338" s="185" t="s">
        <v>2722</v>
      </c>
      <c r="F338" s="185" t="s">
        <v>2718</v>
      </c>
      <c r="G338" s="220">
        <v>41428</v>
      </c>
      <c r="H338" s="187">
        <v>3</v>
      </c>
      <c r="I338" s="187">
        <v>6</v>
      </c>
      <c r="J338" s="186">
        <v>2013</v>
      </c>
      <c r="K338" s="226" t="s">
        <v>30</v>
      </c>
      <c r="L338" s="226" t="s">
        <v>2719</v>
      </c>
      <c r="M338" s="226" t="s">
        <v>869</v>
      </c>
      <c r="N338" s="168">
        <v>102512.5</v>
      </c>
      <c r="O338" s="184"/>
      <c r="Q338" s="109">
        <v>3</v>
      </c>
      <c r="R338" s="112">
        <f t="shared" si="76"/>
        <v>2847.5416666666665</v>
      </c>
      <c r="S338" s="111">
        <f>R338*W338</f>
        <v>28475.416666666664</v>
      </c>
      <c r="T338" s="111">
        <f t="shared" si="77"/>
        <v>74037.083333333343</v>
      </c>
      <c r="U338" s="221" t="s">
        <v>2720</v>
      </c>
      <c r="V338" s="221"/>
      <c r="W338" s="121">
        <f t="shared" si="74"/>
        <v>10</v>
      </c>
      <c r="X338" s="236"/>
    </row>
    <row r="339" spans="1:24" s="182" customFormat="1">
      <c r="A339" s="185"/>
      <c r="B339" s="185" t="s">
        <v>2715</v>
      </c>
      <c r="C339" s="185" t="s">
        <v>2716</v>
      </c>
      <c r="D339" s="185" t="s">
        <v>2717</v>
      </c>
      <c r="E339" s="185" t="s">
        <v>2723</v>
      </c>
      <c r="F339" s="185" t="s">
        <v>2718</v>
      </c>
      <c r="G339" s="220">
        <v>41428</v>
      </c>
      <c r="H339" s="187">
        <v>3</v>
      </c>
      <c r="I339" s="187">
        <v>6</v>
      </c>
      <c r="J339" s="186">
        <v>2013</v>
      </c>
      <c r="K339" s="226" t="s">
        <v>30</v>
      </c>
      <c r="L339" s="226" t="s">
        <v>2719</v>
      </c>
      <c r="M339" s="226" t="s">
        <v>869</v>
      </c>
      <c r="N339" s="168">
        <v>102512.5</v>
      </c>
      <c r="O339" s="184"/>
      <c r="Q339" s="109">
        <v>3</v>
      </c>
      <c r="R339" s="112">
        <f t="shared" si="76"/>
        <v>2847.5416666666665</v>
      </c>
      <c r="S339" s="111">
        <f>R339*W339</f>
        <v>28475.416666666664</v>
      </c>
      <c r="T339" s="111">
        <f t="shared" si="77"/>
        <v>74037.083333333343</v>
      </c>
      <c r="U339" s="221" t="s">
        <v>2720</v>
      </c>
      <c r="V339" s="221"/>
      <c r="W339" s="121">
        <f t="shared" si="74"/>
        <v>10</v>
      </c>
      <c r="X339" s="236"/>
    </row>
    <row r="340" spans="1:24" s="182" customFormat="1">
      <c r="A340" s="185"/>
      <c r="B340" s="185" t="s">
        <v>2715</v>
      </c>
      <c r="C340" s="185" t="s">
        <v>2716</v>
      </c>
      <c r="D340" s="185" t="s">
        <v>2717</v>
      </c>
      <c r="E340" s="185" t="s">
        <v>2724</v>
      </c>
      <c r="F340" s="185" t="s">
        <v>2718</v>
      </c>
      <c r="G340" s="220">
        <v>41428</v>
      </c>
      <c r="H340" s="187">
        <v>3</v>
      </c>
      <c r="I340" s="187">
        <v>6</v>
      </c>
      <c r="J340" s="186">
        <v>2013</v>
      </c>
      <c r="K340" s="226" t="s">
        <v>30</v>
      </c>
      <c r="L340" s="226" t="s">
        <v>2719</v>
      </c>
      <c r="M340" s="226" t="s">
        <v>869</v>
      </c>
      <c r="N340" s="168">
        <v>102512.5</v>
      </c>
      <c r="O340" s="184"/>
      <c r="Q340" s="109">
        <v>3</v>
      </c>
      <c r="R340" s="112">
        <f t="shared" si="76"/>
        <v>2847.5416666666665</v>
      </c>
      <c r="S340" s="111">
        <f>R340*W340</f>
        <v>28475.416666666664</v>
      </c>
      <c r="T340" s="111">
        <f t="shared" si="77"/>
        <v>74037.083333333343</v>
      </c>
      <c r="U340" s="221" t="s">
        <v>2720</v>
      </c>
      <c r="V340" s="221"/>
      <c r="W340" s="121">
        <f t="shared" si="74"/>
        <v>10</v>
      </c>
      <c r="X340" s="236"/>
    </row>
    <row r="341" spans="1:24">
      <c r="B341" s="459"/>
      <c r="C341" s="459"/>
      <c r="N341" s="385"/>
      <c r="R341" s="385"/>
      <c r="S341" s="385"/>
      <c r="T341" s="385"/>
    </row>
    <row r="342" spans="1:24">
      <c r="B342" s="460" t="s">
        <v>2714</v>
      </c>
      <c r="C342" s="460"/>
      <c r="G342" s="159">
        <v>41430</v>
      </c>
      <c r="N342" s="112">
        <v>294570.48</v>
      </c>
      <c r="Q342" s="109">
        <v>3</v>
      </c>
      <c r="R342" s="112">
        <v>0</v>
      </c>
      <c r="S342" s="111">
        <f t="shared" ref="S342" si="78">R342*W342</f>
        <v>0</v>
      </c>
      <c r="T342" s="111">
        <f t="shared" ref="T342" si="79">N342-S342</f>
        <v>294570.48</v>
      </c>
      <c r="U342" s="458"/>
      <c r="W342" s="121">
        <f t="shared" ref="W342" si="80">IF((DATEDIF(G342,W$4,"m"))&gt;=36,36,(DATEDIF(G342,W$4,"m")))</f>
        <v>10</v>
      </c>
    </row>
    <row r="343" spans="1:24">
      <c r="N343" s="386">
        <f>SUM(N337:N342)</f>
        <v>704620.48</v>
      </c>
      <c r="R343" s="386">
        <f>SUM(R337:R342)</f>
        <v>11390.166666666666</v>
      </c>
      <c r="S343" s="386">
        <f>SUM(S337:S342)</f>
        <v>113901.66666666666</v>
      </c>
      <c r="T343" s="386">
        <f>SUM(T337:T342)</f>
        <v>590718.81333333335</v>
      </c>
    </row>
    <row r="344" spans="1:24" s="96" customFormat="1">
      <c r="A344" s="118"/>
      <c r="B344" s="118"/>
      <c r="C344" s="118"/>
      <c r="D344" s="118"/>
      <c r="E344" s="118"/>
      <c r="F344" s="118"/>
      <c r="G344" s="118"/>
      <c r="H344" s="120"/>
      <c r="I344" s="120"/>
      <c r="J344" s="119"/>
      <c r="K344" s="118"/>
      <c r="L344" s="118"/>
      <c r="M344" s="118"/>
      <c r="N344" s="385"/>
      <c r="O344" s="97"/>
      <c r="P344" s="97"/>
      <c r="Q344" s="109"/>
      <c r="R344" s="385"/>
      <c r="S344" s="385"/>
      <c r="T344" s="385"/>
      <c r="U344" s="385"/>
      <c r="W344" s="116"/>
    </row>
    <row r="345" spans="1:24" ht="16.5" thickBot="1">
      <c r="N345" s="387">
        <f>+N296+N324+N335</f>
        <v>15423727.401399987</v>
      </c>
      <c r="O345" s="96"/>
      <c r="P345" s="96"/>
      <c r="Q345" s="115"/>
      <c r="R345" s="387">
        <f>+R296+R324+R335+R343</f>
        <v>385155.91003888822</v>
      </c>
      <c r="S345" s="387">
        <f>+S296+S324+S335+S342</f>
        <v>14008449.713538876</v>
      </c>
      <c r="T345" s="387">
        <f>+T296+T324+T335+T342</f>
        <v>1753533.0123055554</v>
      </c>
    </row>
    <row r="346" spans="1:24" ht="16.5" thickTop="1"/>
    <row r="349" spans="1:24">
      <c r="L349" s="509">
        <f>+N335+N343</f>
        <v>2103761.9154000003</v>
      </c>
    </row>
  </sheetData>
  <sheetProtection sort="0" autoFilter="0"/>
  <mergeCells count="5">
    <mergeCell ref="R5:S5"/>
    <mergeCell ref="A2:T2"/>
    <mergeCell ref="H5:J5"/>
    <mergeCell ref="A1:T1"/>
    <mergeCell ref="A3:U3"/>
  </mergeCells>
  <printOptions horizontalCentered="1"/>
  <pageMargins left="0.78740157480314965" right="0.78740157480314965" top="0.59055118110236227" bottom="0.78740157480314965" header="0.51181102362204722" footer="0.51181102362204722"/>
  <pageSetup paperSize="5" scale="52" orientation="landscape" r:id="rId1"/>
  <headerFooter alignWithMargins="0">
    <oddFooter>Página &amp;P&amp;R&amp;A</oddFooter>
  </headerFooter>
  <colBreaks count="1" manualBreakCount="1">
    <brk id="2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2:U157"/>
  <sheetViews>
    <sheetView zoomScaleNormal="100" workbookViewId="0">
      <pane xSplit="2" ySplit="7" topLeftCell="M83" activePane="bottomRight" state="frozen"/>
      <selection sqref="A1:T2"/>
      <selection pane="topRight" sqref="A1:T2"/>
      <selection pane="bottomLeft" sqref="A1:T2"/>
      <selection pane="bottomRight" activeCell="P94" sqref="P94"/>
    </sheetView>
  </sheetViews>
  <sheetFormatPr baseColWidth="10" defaultRowHeight="12.75"/>
  <cols>
    <col min="1" max="1" width="9.140625" style="3" customWidth="1"/>
    <col min="2" max="2" width="47.85546875" style="3" customWidth="1"/>
    <col min="3" max="3" width="13.140625" style="3" customWidth="1"/>
    <col min="4" max="4" width="19.140625" style="3" customWidth="1"/>
    <col min="5" max="5" width="11.7109375" style="3" customWidth="1"/>
    <col min="6" max="6" width="31.5703125" style="3" customWidth="1"/>
    <col min="7" max="7" width="12" style="3" bestFit="1" customWidth="1"/>
    <col min="8" max="8" width="5.5703125" style="3" customWidth="1"/>
    <col min="9" max="9" width="6.140625" style="3" customWidth="1"/>
    <col min="10" max="10" width="6.5703125" style="3" customWidth="1"/>
    <col min="11" max="11" width="14.28515625" style="3" customWidth="1"/>
    <col min="12" max="12" width="13.7109375" style="337" customWidth="1"/>
    <col min="13" max="13" width="14.140625" style="3" customWidth="1"/>
    <col min="14" max="14" width="14" style="3" customWidth="1"/>
    <col min="15" max="16" width="11.5703125" style="3" bestFit="1" customWidth="1"/>
    <col min="17" max="17" width="12.5703125" style="3" customWidth="1"/>
    <col min="18" max="18" width="14.28515625" style="3" customWidth="1"/>
    <col min="19" max="19" width="13" style="3" customWidth="1"/>
    <col min="20" max="16384" width="11.42578125" style="3"/>
  </cols>
  <sheetData>
    <row r="2" spans="1:21" ht="20.25">
      <c r="A2" s="531" t="s">
        <v>0</v>
      </c>
      <c r="B2" s="531"/>
      <c r="C2" s="531"/>
      <c r="D2" s="531"/>
      <c r="E2" s="531"/>
      <c r="F2" s="531"/>
      <c r="G2" s="531"/>
      <c r="H2" s="531"/>
      <c r="I2" s="531"/>
      <c r="J2" s="531"/>
      <c r="K2" s="531"/>
      <c r="L2" s="531"/>
      <c r="M2" s="531"/>
      <c r="N2" s="531"/>
      <c r="O2" s="531"/>
      <c r="P2" s="531"/>
      <c r="Q2" s="531"/>
      <c r="R2" s="531"/>
      <c r="S2" s="531"/>
      <c r="U2" s="181"/>
    </row>
    <row r="3" spans="1:21" ht="20.25">
      <c r="A3" s="532" t="s">
        <v>265</v>
      </c>
      <c r="B3" s="532"/>
      <c r="C3" s="532"/>
      <c r="D3" s="532"/>
      <c r="E3" s="532"/>
      <c r="F3" s="532"/>
      <c r="G3" s="532"/>
      <c r="H3" s="532"/>
      <c r="I3" s="532"/>
      <c r="J3" s="532"/>
      <c r="K3" s="532"/>
      <c r="L3" s="532"/>
      <c r="M3" s="532"/>
      <c r="N3" s="532"/>
      <c r="O3" s="532"/>
      <c r="P3" s="532"/>
      <c r="Q3" s="532"/>
      <c r="R3" s="532"/>
      <c r="S3" s="532"/>
      <c r="U3" s="181"/>
    </row>
    <row r="4" spans="1:21">
      <c r="A4" s="533" t="str">
        <f>'Equipos de Producción'!A3:S3</f>
        <v>(Al 30 de Abril del 2014)</v>
      </c>
      <c r="B4" s="533"/>
      <c r="C4" s="533"/>
      <c r="D4" s="533"/>
      <c r="E4" s="533"/>
      <c r="F4" s="533"/>
      <c r="G4" s="533"/>
      <c r="H4" s="533"/>
      <c r="I4" s="533"/>
      <c r="J4" s="533"/>
      <c r="K4" s="533"/>
      <c r="L4" s="533"/>
      <c r="M4" s="533"/>
      <c r="N4" s="533"/>
      <c r="O4" s="533"/>
      <c r="P4" s="533"/>
      <c r="Q4" s="533"/>
      <c r="R4" s="533"/>
      <c r="S4" s="533"/>
      <c r="U4" s="181"/>
    </row>
    <row r="5" spans="1:21" ht="15.75">
      <c r="A5" s="296"/>
      <c r="B5" s="296"/>
      <c r="C5" s="296"/>
      <c r="D5" s="296"/>
      <c r="E5" s="296"/>
      <c r="F5" s="296"/>
      <c r="G5" s="328"/>
      <c r="H5" s="296"/>
      <c r="I5" s="296"/>
      <c r="J5" s="296"/>
      <c r="K5" s="296"/>
      <c r="L5" s="105"/>
      <c r="M5" s="296"/>
      <c r="N5" s="296"/>
      <c r="O5" s="296"/>
      <c r="P5" s="328"/>
      <c r="Q5" s="296"/>
      <c r="R5" s="296"/>
      <c r="S5" s="296"/>
      <c r="U5" s="180">
        <f>'Equipos de Producción'!$U$4</f>
        <v>41759</v>
      </c>
    </row>
    <row r="6" spans="1:21" s="4" customFormat="1" ht="15.75">
      <c r="A6" s="105"/>
      <c r="B6" s="105"/>
      <c r="C6" s="105"/>
      <c r="D6" s="105"/>
      <c r="E6" s="105"/>
      <c r="F6" s="105"/>
      <c r="G6" s="105"/>
      <c r="H6" s="522" t="s">
        <v>57</v>
      </c>
      <c r="I6" s="523"/>
      <c r="J6" s="524"/>
      <c r="K6" s="105"/>
      <c r="L6" s="105"/>
      <c r="M6" s="105"/>
      <c r="N6" s="104"/>
      <c r="O6" s="14"/>
      <c r="P6" s="534" t="s">
        <v>3</v>
      </c>
      <c r="Q6" s="535"/>
      <c r="R6" s="6"/>
      <c r="S6" s="14"/>
      <c r="U6" s="110"/>
    </row>
    <row r="7" spans="1:21" s="4" customFormat="1" ht="32.25" customHeight="1">
      <c r="A7" s="99" t="s">
        <v>4</v>
      </c>
      <c r="B7" s="99" t="s">
        <v>5</v>
      </c>
      <c r="C7" s="99" t="s">
        <v>6</v>
      </c>
      <c r="D7" s="99" t="s">
        <v>7</v>
      </c>
      <c r="E7" s="99" t="s">
        <v>8</v>
      </c>
      <c r="F7" s="99" t="s">
        <v>9</v>
      </c>
      <c r="G7" s="99" t="s">
        <v>10</v>
      </c>
      <c r="H7" s="103" t="s">
        <v>11</v>
      </c>
      <c r="I7" s="103" t="s">
        <v>12</v>
      </c>
      <c r="J7" s="102" t="s">
        <v>13</v>
      </c>
      <c r="K7" s="99" t="s">
        <v>14</v>
      </c>
      <c r="L7" s="101" t="s">
        <v>15</v>
      </c>
      <c r="M7" s="99" t="s">
        <v>16</v>
      </c>
      <c r="N7" s="100" t="s">
        <v>17</v>
      </c>
      <c r="O7" s="99" t="s">
        <v>20</v>
      </c>
      <c r="P7" s="12" t="s">
        <v>21</v>
      </c>
      <c r="Q7" s="12" t="s">
        <v>2524</v>
      </c>
      <c r="R7" s="12" t="s">
        <v>23</v>
      </c>
      <c r="S7" s="99" t="s">
        <v>56</v>
      </c>
      <c r="U7" s="173" t="s">
        <v>867</v>
      </c>
    </row>
    <row r="8" spans="1:21" s="136" customFormat="1" ht="15.75">
      <c r="B8" s="338" t="s">
        <v>264</v>
      </c>
      <c r="F8" s="136" t="s">
        <v>253</v>
      </c>
      <c r="G8" s="220" t="str">
        <f t="shared" ref="G8:G26" si="0">CONCATENATE(H8,"/",I8,"/",J8,)</f>
        <v>20/5/2008</v>
      </c>
      <c r="H8" s="136">
        <v>20</v>
      </c>
      <c r="I8" s="136">
        <v>5</v>
      </c>
      <c r="J8" s="136">
        <v>2008</v>
      </c>
      <c r="K8" s="136" t="s">
        <v>184</v>
      </c>
      <c r="L8" s="138">
        <v>18</v>
      </c>
      <c r="M8" s="136" t="s">
        <v>225</v>
      </c>
      <c r="N8" s="339">
        <v>9025.9599999999991</v>
      </c>
      <c r="O8" s="136">
        <v>5</v>
      </c>
      <c r="P8" s="112">
        <f>(((N8)-1)/5)/12</f>
        <v>150.41599999999997</v>
      </c>
      <c r="Q8" s="340">
        <f t="shared" ref="Q8:Q51" si="1">P8*U8</f>
        <v>9024.9599999999973</v>
      </c>
      <c r="R8" s="340">
        <f>N8-Q8</f>
        <v>1.000000000001819</v>
      </c>
      <c r="S8" s="136">
        <v>11034</v>
      </c>
      <c r="U8" s="121">
        <f t="shared" ref="U8:U51" si="2">IF((DATEDIF(G8,U$5,"m"))&gt;=60,60,(DATEDIF(G8,U$5,"m")))</f>
        <v>60</v>
      </c>
    </row>
    <row r="9" spans="1:21" s="136" customFormat="1" ht="15.75">
      <c r="B9" s="338" t="s">
        <v>264</v>
      </c>
      <c r="F9" s="136" t="s">
        <v>253</v>
      </c>
      <c r="G9" s="220" t="str">
        <f t="shared" si="0"/>
        <v>20/5/2008</v>
      </c>
      <c r="H9" s="136">
        <v>20</v>
      </c>
      <c r="I9" s="136">
        <v>5</v>
      </c>
      <c r="J9" s="136">
        <v>2008</v>
      </c>
      <c r="K9" s="136" t="s">
        <v>184</v>
      </c>
      <c r="L9" s="138">
        <v>18</v>
      </c>
      <c r="M9" s="136" t="s">
        <v>225</v>
      </c>
      <c r="N9" s="339">
        <v>9025.9599999999991</v>
      </c>
      <c r="O9" s="136">
        <v>5</v>
      </c>
      <c r="P9" s="112">
        <f t="shared" ref="P9:P51" si="3">(((N9)-1)/5)/12</f>
        <v>150.41599999999997</v>
      </c>
      <c r="Q9" s="340">
        <f t="shared" si="1"/>
        <v>9024.9599999999973</v>
      </c>
      <c r="R9" s="340">
        <f t="shared" ref="R9:R51" si="4">N9-Q9</f>
        <v>1.000000000001819</v>
      </c>
      <c r="S9" s="136">
        <v>11034</v>
      </c>
      <c r="U9" s="121">
        <f t="shared" si="2"/>
        <v>60</v>
      </c>
    </row>
    <row r="10" spans="1:21" s="136" customFormat="1" ht="15.75">
      <c r="B10" s="338" t="s">
        <v>264</v>
      </c>
      <c r="F10" s="136" t="s">
        <v>253</v>
      </c>
      <c r="G10" s="220" t="str">
        <f t="shared" si="0"/>
        <v>20/5/2008</v>
      </c>
      <c r="H10" s="136">
        <v>20</v>
      </c>
      <c r="I10" s="136">
        <v>5</v>
      </c>
      <c r="J10" s="136">
        <v>2008</v>
      </c>
      <c r="K10" s="136" t="s">
        <v>184</v>
      </c>
      <c r="L10" s="138">
        <v>18</v>
      </c>
      <c r="M10" s="136" t="s">
        <v>225</v>
      </c>
      <c r="N10" s="339">
        <v>9025.9599999999991</v>
      </c>
      <c r="O10" s="136">
        <v>5</v>
      </c>
      <c r="P10" s="112">
        <f t="shared" si="3"/>
        <v>150.41599999999997</v>
      </c>
      <c r="Q10" s="340">
        <f t="shared" si="1"/>
        <v>9024.9599999999973</v>
      </c>
      <c r="R10" s="340">
        <f t="shared" si="4"/>
        <v>1.000000000001819</v>
      </c>
      <c r="S10" s="136">
        <v>11034</v>
      </c>
      <c r="U10" s="121">
        <f t="shared" si="2"/>
        <v>60</v>
      </c>
    </row>
    <row r="11" spans="1:21" s="136" customFormat="1" ht="15.75">
      <c r="B11" s="338" t="s">
        <v>264</v>
      </c>
      <c r="F11" s="136" t="s">
        <v>253</v>
      </c>
      <c r="G11" s="220" t="str">
        <f t="shared" si="0"/>
        <v>20/5/2008</v>
      </c>
      <c r="H11" s="136">
        <v>20</v>
      </c>
      <c r="I11" s="136">
        <v>5</v>
      </c>
      <c r="J11" s="136">
        <v>2008</v>
      </c>
      <c r="K11" s="136" t="s">
        <v>184</v>
      </c>
      <c r="L11" s="138">
        <v>18</v>
      </c>
      <c r="M11" s="136" t="s">
        <v>225</v>
      </c>
      <c r="N11" s="339">
        <v>9025.9599999999991</v>
      </c>
      <c r="O11" s="136">
        <v>5</v>
      </c>
      <c r="P11" s="112">
        <f t="shared" si="3"/>
        <v>150.41599999999997</v>
      </c>
      <c r="Q11" s="340">
        <f t="shared" si="1"/>
        <v>9024.9599999999973</v>
      </c>
      <c r="R11" s="340">
        <f t="shared" si="4"/>
        <v>1.000000000001819</v>
      </c>
      <c r="S11" s="136">
        <v>11034</v>
      </c>
      <c r="U11" s="121">
        <f t="shared" si="2"/>
        <v>60</v>
      </c>
    </row>
    <row r="12" spans="1:21" s="136" customFormat="1" ht="15.75">
      <c r="B12" s="338" t="s">
        <v>263</v>
      </c>
      <c r="D12" s="136" t="s">
        <v>262</v>
      </c>
      <c r="F12" s="136" t="s">
        <v>253</v>
      </c>
      <c r="G12" s="220" t="str">
        <f t="shared" si="0"/>
        <v>20/5/2008</v>
      </c>
      <c r="H12" s="136">
        <v>20</v>
      </c>
      <c r="I12" s="136">
        <v>5</v>
      </c>
      <c r="J12" s="136">
        <v>2008</v>
      </c>
      <c r="K12" s="136" t="s">
        <v>184</v>
      </c>
      <c r="L12" s="138">
        <v>18</v>
      </c>
      <c r="M12" s="136" t="s">
        <v>225</v>
      </c>
      <c r="N12" s="339">
        <v>7700</v>
      </c>
      <c r="O12" s="136">
        <v>5</v>
      </c>
      <c r="P12" s="112">
        <f t="shared" si="3"/>
        <v>128.31666666666666</v>
      </c>
      <c r="Q12" s="340">
        <f t="shared" si="1"/>
        <v>7699</v>
      </c>
      <c r="R12" s="340">
        <f t="shared" si="4"/>
        <v>1</v>
      </c>
      <c r="S12" s="136">
        <v>11034</v>
      </c>
      <c r="U12" s="121">
        <f t="shared" si="2"/>
        <v>60</v>
      </c>
    </row>
    <row r="13" spans="1:21" s="136" customFormat="1" ht="15.75">
      <c r="B13" s="338" t="s">
        <v>263</v>
      </c>
      <c r="D13" s="136" t="s">
        <v>262</v>
      </c>
      <c r="F13" s="136" t="s">
        <v>253</v>
      </c>
      <c r="G13" s="220" t="str">
        <f t="shared" si="0"/>
        <v>20/5/2008</v>
      </c>
      <c r="H13" s="136">
        <v>20</v>
      </c>
      <c r="I13" s="136">
        <v>5</v>
      </c>
      <c r="J13" s="136">
        <v>2008</v>
      </c>
      <c r="K13" s="136" t="s">
        <v>184</v>
      </c>
      <c r="L13" s="138">
        <v>18</v>
      </c>
      <c r="M13" s="136" t="s">
        <v>225</v>
      </c>
      <c r="N13" s="339">
        <v>7700</v>
      </c>
      <c r="O13" s="136">
        <v>5</v>
      </c>
      <c r="P13" s="112">
        <f t="shared" si="3"/>
        <v>128.31666666666666</v>
      </c>
      <c r="Q13" s="340">
        <f t="shared" si="1"/>
        <v>7699</v>
      </c>
      <c r="R13" s="340">
        <f t="shared" si="4"/>
        <v>1</v>
      </c>
      <c r="S13" s="136">
        <v>11034</v>
      </c>
      <c r="U13" s="121">
        <f t="shared" si="2"/>
        <v>60</v>
      </c>
    </row>
    <row r="14" spans="1:21" s="136" customFormat="1" ht="15.75">
      <c r="B14" s="338" t="s">
        <v>263</v>
      </c>
      <c r="D14" s="136" t="s">
        <v>262</v>
      </c>
      <c r="F14" s="136" t="s">
        <v>253</v>
      </c>
      <c r="G14" s="220" t="str">
        <f t="shared" si="0"/>
        <v>20/5/2008</v>
      </c>
      <c r="H14" s="136">
        <v>20</v>
      </c>
      <c r="I14" s="136">
        <v>5</v>
      </c>
      <c r="J14" s="136">
        <v>2008</v>
      </c>
      <c r="K14" s="136" t="s">
        <v>184</v>
      </c>
      <c r="L14" s="138">
        <v>18</v>
      </c>
      <c r="M14" s="136" t="s">
        <v>225</v>
      </c>
      <c r="N14" s="339">
        <v>7700</v>
      </c>
      <c r="O14" s="136">
        <v>5</v>
      </c>
      <c r="P14" s="112">
        <f t="shared" si="3"/>
        <v>128.31666666666666</v>
      </c>
      <c r="Q14" s="340">
        <f t="shared" si="1"/>
        <v>7699</v>
      </c>
      <c r="R14" s="340">
        <f t="shared" si="4"/>
        <v>1</v>
      </c>
      <c r="S14" s="136">
        <v>11034</v>
      </c>
      <c r="U14" s="121">
        <f t="shared" si="2"/>
        <v>60</v>
      </c>
    </row>
    <row r="15" spans="1:21" s="136" customFormat="1" ht="15.75">
      <c r="B15" s="338" t="s">
        <v>261</v>
      </c>
      <c r="D15" s="136" t="s">
        <v>260</v>
      </c>
      <c r="F15" s="136" t="s">
        <v>253</v>
      </c>
      <c r="G15" s="220" t="str">
        <f t="shared" si="0"/>
        <v>20/5/2008</v>
      </c>
      <c r="H15" s="136">
        <v>20</v>
      </c>
      <c r="I15" s="136">
        <v>5</v>
      </c>
      <c r="J15" s="136">
        <v>2008</v>
      </c>
      <c r="K15" s="136" t="s">
        <v>184</v>
      </c>
      <c r="L15" s="138">
        <v>18</v>
      </c>
      <c r="M15" s="136" t="s">
        <v>225</v>
      </c>
      <c r="N15" s="339">
        <v>7528.4</v>
      </c>
      <c r="O15" s="136">
        <v>5</v>
      </c>
      <c r="P15" s="112">
        <f t="shared" si="3"/>
        <v>125.45666666666666</v>
      </c>
      <c r="Q15" s="340">
        <f t="shared" si="1"/>
        <v>7527.4</v>
      </c>
      <c r="R15" s="340">
        <f t="shared" si="4"/>
        <v>1</v>
      </c>
      <c r="S15" s="136">
        <v>11034</v>
      </c>
      <c r="U15" s="121">
        <f t="shared" si="2"/>
        <v>60</v>
      </c>
    </row>
    <row r="16" spans="1:21" s="136" customFormat="1" ht="15.75">
      <c r="B16" s="338" t="s">
        <v>261</v>
      </c>
      <c r="D16" s="136" t="s">
        <v>260</v>
      </c>
      <c r="F16" s="136" t="s">
        <v>253</v>
      </c>
      <c r="G16" s="220" t="str">
        <f t="shared" si="0"/>
        <v>20/5/2008</v>
      </c>
      <c r="H16" s="136">
        <v>20</v>
      </c>
      <c r="I16" s="136">
        <v>5</v>
      </c>
      <c r="J16" s="136">
        <v>2008</v>
      </c>
      <c r="K16" s="136" t="s">
        <v>184</v>
      </c>
      <c r="L16" s="138">
        <v>18</v>
      </c>
      <c r="M16" s="136" t="s">
        <v>225</v>
      </c>
      <c r="N16" s="339">
        <v>7528.4</v>
      </c>
      <c r="O16" s="136">
        <v>5</v>
      </c>
      <c r="P16" s="112">
        <f t="shared" si="3"/>
        <v>125.45666666666666</v>
      </c>
      <c r="Q16" s="340">
        <f t="shared" si="1"/>
        <v>7527.4</v>
      </c>
      <c r="R16" s="340">
        <f t="shared" si="4"/>
        <v>1</v>
      </c>
      <c r="S16" s="136">
        <v>11034</v>
      </c>
      <c r="U16" s="121">
        <f t="shared" si="2"/>
        <v>60</v>
      </c>
    </row>
    <row r="17" spans="2:21" s="136" customFormat="1" ht="15.75">
      <c r="B17" s="338" t="s">
        <v>261</v>
      </c>
      <c r="D17" s="136" t="s">
        <v>260</v>
      </c>
      <c r="F17" s="136" t="s">
        <v>253</v>
      </c>
      <c r="G17" s="220" t="str">
        <f t="shared" si="0"/>
        <v>20/5/2008</v>
      </c>
      <c r="H17" s="136">
        <v>20</v>
      </c>
      <c r="I17" s="136">
        <v>5</v>
      </c>
      <c r="J17" s="136">
        <v>2008</v>
      </c>
      <c r="K17" s="136" t="s">
        <v>184</v>
      </c>
      <c r="L17" s="138">
        <v>18</v>
      </c>
      <c r="M17" s="136" t="s">
        <v>225</v>
      </c>
      <c r="N17" s="339">
        <v>7528.4</v>
      </c>
      <c r="O17" s="136">
        <v>5</v>
      </c>
      <c r="P17" s="112">
        <f t="shared" si="3"/>
        <v>125.45666666666666</v>
      </c>
      <c r="Q17" s="340">
        <f t="shared" si="1"/>
        <v>7527.4</v>
      </c>
      <c r="R17" s="340">
        <f t="shared" si="4"/>
        <v>1</v>
      </c>
      <c r="S17" s="136">
        <v>11034</v>
      </c>
      <c r="U17" s="121">
        <f t="shared" si="2"/>
        <v>60</v>
      </c>
    </row>
    <row r="18" spans="2:21" s="136" customFormat="1" ht="15.75">
      <c r="B18" s="338" t="s">
        <v>259</v>
      </c>
      <c r="C18" s="136" t="s">
        <v>258</v>
      </c>
      <c r="D18" s="136">
        <v>1459</v>
      </c>
      <c r="F18" s="136" t="s">
        <v>253</v>
      </c>
      <c r="G18" s="220" t="str">
        <f t="shared" si="0"/>
        <v>20/5/2008</v>
      </c>
      <c r="H18" s="136">
        <v>20</v>
      </c>
      <c r="I18" s="136">
        <v>5</v>
      </c>
      <c r="J18" s="136">
        <v>2008</v>
      </c>
      <c r="K18" s="136" t="s">
        <v>184</v>
      </c>
      <c r="L18" s="138">
        <v>18</v>
      </c>
      <c r="M18" s="136" t="s">
        <v>225</v>
      </c>
      <c r="N18" s="339">
        <v>5220</v>
      </c>
      <c r="O18" s="136">
        <v>5</v>
      </c>
      <c r="P18" s="112">
        <f t="shared" si="3"/>
        <v>86.983333333333334</v>
      </c>
      <c r="Q18" s="340">
        <f t="shared" si="1"/>
        <v>5219</v>
      </c>
      <c r="R18" s="340">
        <f t="shared" si="4"/>
        <v>1</v>
      </c>
      <c r="S18" s="136">
        <v>11034</v>
      </c>
      <c r="U18" s="121">
        <f t="shared" si="2"/>
        <v>60</v>
      </c>
    </row>
    <row r="19" spans="2:21" s="136" customFormat="1" ht="15.75">
      <c r="B19" s="338" t="s">
        <v>259</v>
      </c>
      <c r="C19" s="136" t="s">
        <v>258</v>
      </c>
      <c r="D19" s="136">
        <v>1459</v>
      </c>
      <c r="F19" s="136" t="s">
        <v>253</v>
      </c>
      <c r="G19" s="220" t="str">
        <f t="shared" si="0"/>
        <v>20/5/2008</v>
      </c>
      <c r="H19" s="136">
        <v>20</v>
      </c>
      <c r="I19" s="136">
        <v>5</v>
      </c>
      <c r="J19" s="136">
        <v>2008</v>
      </c>
      <c r="K19" s="136" t="s">
        <v>184</v>
      </c>
      <c r="L19" s="138">
        <v>18</v>
      </c>
      <c r="M19" s="136" t="s">
        <v>225</v>
      </c>
      <c r="N19" s="339">
        <v>5220</v>
      </c>
      <c r="O19" s="136">
        <v>5</v>
      </c>
      <c r="P19" s="112">
        <f t="shared" si="3"/>
        <v>86.983333333333334</v>
      </c>
      <c r="Q19" s="340">
        <f t="shared" si="1"/>
        <v>5219</v>
      </c>
      <c r="R19" s="340">
        <f t="shared" si="4"/>
        <v>1</v>
      </c>
      <c r="S19" s="136">
        <v>11034</v>
      </c>
      <c r="U19" s="121">
        <f t="shared" si="2"/>
        <v>60</v>
      </c>
    </row>
    <row r="20" spans="2:21" s="136" customFormat="1" ht="15.75">
      <c r="B20" s="338" t="s">
        <v>259</v>
      </c>
      <c r="C20" s="136" t="s">
        <v>258</v>
      </c>
      <c r="D20" s="136">
        <v>1459</v>
      </c>
      <c r="F20" s="136" t="s">
        <v>253</v>
      </c>
      <c r="G20" s="220" t="str">
        <f t="shared" si="0"/>
        <v>20/5/2008</v>
      </c>
      <c r="H20" s="136">
        <v>20</v>
      </c>
      <c r="I20" s="136">
        <v>5</v>
      </c>
      <c r="J20" s="136">
        <v>2008</v>
      </c>
      <c r="K20" s="136" t="s">
        <v>184</v>
      </c>
      <c r="L20" s="138">
        <v>18</v>
      </c>
      <c r="M20" s="136" t="s">
        <v>225</v>
      </c>
      <c r="N20" s="339">
        <v>5220</v>
      </c>
      <c r="O20" s="136">
        <v>5</v>
      </c>
      <c r="P20" s="112">
        <f t="shared" si="3"/>
        <v>86.983333333333334</v>
      </c>
      <c r="Q20" s="340">
        <f t="shared" si="1"/>
        <v>5219</v>
      </c>
      <c r="R20" s="340">
        <f t="shared" si="4"/>
        <v>1</v>
      </c>
      <c r="S20" s="136">
        <v>11034</v>
      </c>
      <c r="U20" s="121">
        <f t="shared" si="2"/>
        <v>60</v>
      </c>
    </row>
    <row r="21" spans="2:21" s="136" customFormat="1" ht="15.75">
      <c r="B21" s="338" t="s">
        <v>257</v>
      </c>
      <c r="D21" s="136" t="s">
        <v>256</v>
      </c>
      <c r="F21" s="136" t="s">
        <v>253</v>
      </c>
      <c r="G21" s="220" t="str">
        <f t="shared" si="0"/>
        <v>20/5/2008</v>
      </c>
      <c r="H21" s="136">
        <v>20</v>
      </c>
      <c r="I21" s="136">
        <v>5</v>
      </c>
      <c r="J21" s="136">
        <v>2008</v>
      </c>
      <c r="K21" s="136" t="s">
        <v>184</v>
      </c>
      <c r="L21" s="138">
        <v>18</v>
      </c>
      <c r="M21" s="136" t="s">
        <v>225</v>
      </c>
      <c r="N21" s="339">
        <v>10300.799999999999</v>
      </c>
      <c r="O21" s="136">
        <v>5</v>
      </c>
      <c r="P21" s="112">
        <f t="shared" si="3"/>
        <v>171.66333333333333</v>
      </c>
      <c r="Q21" s="340">
        <f t="shared" si="1"/>
        <v>10299.799999999999</v>
      </c>
      <c r="R21" s="340">
        <f t="shared" si="4"/>
        <v>1</v>
      </c>
      <c r="S21" s="136">
        <v>11034</v>
      </c>
      <c r="U21" s="121">
        <f t="shared" si="2"/>
        <v>60</v>
      </c>
    </row>
    <row r="22" spans="2:21" s="136" customFormat="1" ht="15.75">
      <c r="B22" s="338" t="s">
        <v>257</v>
      </c>
      <c r="D22" s="136" t="s">
        <v>256</v>
      </c>
      <c r="F22" s="136" t="s">
        <v>253</v>
      </c>
      <c r="G22" s="220" t="str">
        <f t="shared" si="0"/>
        <v>20/5/2008</v>
      </c>
      <c r="H22" s="136">
        <v>20</v>
      </c>
      <c r="I22" s="136">
        <v>5</v>
      </c>
      <c r="J22" s="136">
        <v>2008</v>
      </c>
      <c r="K22" s="136" t="s">
        <v>184</v>
      </c>
      <c r="L22" s="138">
        <v>18</v>
      </c>
      <c r="M22" s="136" t="s">
        <v>225</v>
      </c>
      <c r="N22" s="339">
        <v>10300.799999999999</v>
      </c>
      <c r="O22" s="136">
        <v>5</v>
      </c>
      <c r="P22" s="112">
        <f t="shared" si="3"/>
        <v>171.66333333333333</v>
      </c>
      <c r="Q22" s="340">
        <f t="shared" si="1"/>
        <v>10299.799999999999</v>
      </c>
      <c r="R22" s="340">
        <f t="shared" si="4"/>
        <v>1</v>
      </c>
      <c r="S22" s="136">
        <v>11034</v>
      </c>
      <c r="U22" s="121">
        <f t="shared" si="2"/>
        <v>60</v>
      </c>
    </row>
    <row r="23" spans="2:21" s="136" customFormat="1" ht="15.75">
      <c r="B23" s="338" t="s">
        <v>257</v>
      </c>
      <c r="D23" s="136" t="s">
        <v>256</v>
      </c>
      <c r="F23" s="136" t="s">
        <v>253</v>
      </c>
      <c r="G23" s="220" t="str">
        <f t="shared" si="0"/>
        <v>20/5/2008</v>
      </c>
      <c r="H23" s="136">
        <v>20</v>
      </c>
      <c r="I23" s="136">
        <v>5</v>
      </c>
      <c r="J23" s="136">
        <v>2008</v>
      </c>
      <c r="K23" s="136" t="s">
        <v>184</v>
      </c>
      <c r="L23" s="138">
        <v>18</v>
      </c>
      <c r="M23" s="136" t="s">
        <v>225</v>
      </c>
      <c r="N23" s="339">
        <v>10300.799999999999</v>
      </c>
      <c r="O23" s="136">
        <v>5</v>
      </c>
      <c r="P23" s="112">
        <f t="shared" si="3"/>
        <v>171.66333333333333</v>
      </c>
      <c r="Q23" s="340">
        <f t="shared" si="1"/>
        <v>10299.799999999999</v>
      </c>
      <c r="R23" s="340">
        <f t="shared" si="4"/>
        <v>1</v>
      </c>
      <c r="S23" s="136">
        <v>11034</v>
      </c>
      <c r="U23" s="121">
        <f t="shared" si="2"/>
        <v>60</v>
      </c>
    </row>
    <row r="24" spans="2:21" s="136" customFormat="1" ht="15.75">
      <c r="B24" s="338" t="s">
        <v>255</v>
      </c>
      <c r="D24" s="136" t="s">
        <v>254</v>
      </c>
      <c r="F24" s="136" t="s">
        <v>253</v>
      </c>
      <c r="G24" s="220" t="str">
        <f t="shared" si="0"/>
        <v>20/5/2008</v>
      </c>
      <c r="H24" s="136">
        <v>20</v>
      </c>
      <c r="I24" s="136">
        <v>5</v>
      </c>
      <c r="J24" s="136">
        <v>2008</v>
      </c>
      <c r="K24" s="136" t="s">
        <v>184</v>
      </c>
      <c r="L24" s="138">
        <v>18</v>
      </c>
      <c r="M24" s="136" t="s">
        <v>225</v>
      </c>
      <c r="N24" s="339">
        <v>1157.68</v>
      </c>
      <c r="O24" s="136">
        <v>5</v>
      </c>
      <c r="P24" s="112">
        <f t="shared" si="3"/>
        <v>19.278000000000002</v>
      </c>
      <c r="Q24" s="340">
        <f t="shared" si="1"/>
        <v>1156.68</v>
      </c>
      <c r="R24" s="340">
        <f t="shared" si="4"/>
        <v>1</v>
      </c>
      <c r="S24" s="136">
        <v>11034</v>
      </c>
      <c r="U24" s="121">
        <f t="shared" si="2"/>
        <v>60</v>
      </c>
    </row>
    <row r="25" spans="2:21" s="136" customFormat="1" ht="15.75">
      <c r="B25" s="338" t="s">
        <v>255</v>
      </c>
      <c r="D25" s="136" t="s">
        <v>254</v>
      </c>
      <c r="F25" s="136" t="s">
        <v>253</v>
      </c>
      <c r="G25" s="220" t="str">
        <f t="shared" si="0"/>
        <v>20/5/2008</v>
      </c>
      <c r="H25" s="136">
        <v>20</v>
      </c>
      <c r="I25" s="136">
        <v>5</v>
      </c>
      <c r="J25" s="136">
        <v>2008</v>
      </c>
      <c r="K25" s="136" t="s">
        <v>184</v>
      </c>
      <c r="L25" s="138">
        <v>18</v>
      </c>
      <c r="M25" s="136" t="s">
        <v>225</v>
      </c>
      <c r="N25" s="339">
        <v>1157.68</v>
      </c>
      <c r="O25" s="136">
        <v>5</v>
      </c>
      <c r="P25" s="112">
        <f t="shared" si="3"/>
        <v>19.278000000000002</v>
      </c>
      <c r="Q25" s="340">
        <f t="shared" si="1"/>
        <v>1156.68</v>
      </c>
      <c r="R25" s="340">
        <f t="shared" si="4"/>
        <v>1</v>
      </c>
      <c r="S25" s="136">
        <v>11034</v>
      </c>
      <c r="U25" s="121">
        <f t="shared" si="2"/>
        <v>60</v>
      </c>
    </row>
    <row r="26" spans="2:21" s="136" customFormat="1" ht="15.75">
      <c r="B26" s="338" t="s">
        <v>255</v>
      </c>
      <c r="D26" s="136" t="s">
        <v>254</v>
      </c>
      <c r="F26" s="136" t="s">
        <v>253</v>
      </c>
      <c r="G26" s="220" t="str">
        <f t="shared" si="0"/>
        <v>20/5/2008</v>
      </c>
      <c r="H26" s="136">
        <v>20</v>
      </c>
      <c r="I26" s="136">
        <v>5</v>
      </c>
      <c r="J26" s="136">
        <v>2008</v>
      </c>
      <c r="K26" s="136" t="s">
        <v>184</v>
      </c>
      <c r="L26" s="138">
        <v>18</v>
      </c>
      <c r="M26" s="136" t="s">
        <v>225</v>
      </c>
      <c r="N26" s="339">
        <v>1157.68</v>
      </c>
      <c r="O26" s="136">
        <v>5</v>
      </c>
      <c r="P26" s="112">
        <f t="shared" si="3"/>
        <v>19.278000000000002</v>
      </c>
      <c r="Q26" s="340">
        <f t="shared" si="1"/>
        <v>1156.68</v>
      </c>
      <c r="R26" s="340">
        <f t="shared" si="4"/>
        <v>1</v>
      </c>
      <c r="S26" s="136">
        <v>11034</v>
      </c>
      <c r="U26" s="121">
        <f t="shared" si="2"/>
        <v>60</v>
      </c>
    </row>
    <row r="27" spans="2:21" s="136" customFormat="1" ht="31.5">
      <c r="B27" s="338" t="s">
        <v>252</v>
      </c>
      <c r="C27" s="136" t="s">
        <v>250</v>
      </c>
      <c r="D27" s="136" t="s">
        <v>249</v>
      </c>
      <c r="F27" s="136" t="s">
        <v>248</v>
      </c>
      <c r="G27" s="220" t="str">
        <f t="shared" ref="G27:G64" si="5">CONCATENATE(H27,"/",I27,"/",J27,)</f>
        <v>20/6/2008</v>
      </c>
      <c r="H27" s="136">
        <v>20</v>
      </c>
      <c r="I27" s="136">
        <v>6</v>
      </c>
      <c r="J27" s="136">
        <v>2008</v>
      </c>
      <c r="K27" s="136" t="s">
        <v>184</v>
      </c>
      <c r="L27" s="138">
        <v>40</v>
      </c>
      <c r="M27" s="136" t="s">
        <v>225</v>
      </c>
      <c r="N27" s="339">
        <v>2366.4</v>
      </c>
      <c r="O27" s="136">
        <v>5</v>
      </c>
      <c r="P27" s="112">
        <f t="shared" si="3"/>
        <v>39.423333333333339</v>
      </c>
      <c r="Q27" s="340">
        <f t="shared" si="1"/>
        <v>2365.4000000000005</v>
      </c>
      <c r="R27" s="340">
        <f t="shared" si="4"/>
        <v>0.99999999999954525</v>
      </c>
      <c r="S27" s="136">
        <v>11232</v>
      </c>
      <c r="U27" s="121">
        <f t="shared" si="2"/>
        <v>60</v>
      </c>
    </row>
    <row r="28" spans="2:21" s="136" customFormat="1" ht="15.75">
      <c r="B28" s="338" t="s">
        <v>251</v>
      </c>
      <c r="C28" s="136" t="s">
        <v>250</v>
      </c>
      <c r="D28" s="136" t="s">
        <v>249</v>
      </c>
      <c r="F28" s="136" t="s">
        <v>248</v>
      </c>
      <c r="G28" s="220" t="str">
        <f t="shared" si="5"/>
        <v>1/6/2008</v>
      </c>
      <c r="H28" s="136">
        <v>1</v>
      </c>
      <c r="I28" s="136">
        <v>6</v>
      </c>
      <c r="J28" s="136">
        <v>2008</v>
      </c>
      <c r="K28" s="136" t="s">
        <v>184</v>
      </c>
      <c r="L28" s="138">
        <v>40</v>
      </c>
      <c r="M28" s="136" t="s">
        <v>225</v>
      </c>
      <c r="N28" s="339">
        <v>2366.4</v>
      </c>
      <c r="O28" s="136">
        <v>5</v>
      </c>
      <c r="P28" s="112">
        <f t="shared" si="3"/>
        <v>39.423333333333339</v>
      </c>
      <c r="Q28" s="340">
        <f t="shared" si="1"/>
        <v>2365.4000000000005</v>
      </c>
      <c r="R28" s="340">
        <f t="shared" si="4"/>
        <v>0.99999999999954525</v>
      </c>
      <c r="S28" s="136">
        <v>11232</v>
      </c>
      <c r="U28" s="121">
        <f t="shared" si="2"/>
        <v>60</v>
      </c>
    </row>
    <row r="29" spans="2:21" s="136" customFormat="1" ht="15.75">
      <c r="B29" s="338" t="s">
        <v>251</v>
      </c>
      <c r="C29" s="136" t="s">
        <v>250</v>
      </c>
      <c r="D29" s="136" t="s">
        <v>249</v>
      </c>
      <c r="F29" s="136" t="s">
        <v>248</v>
      </c>
      <c r="G29" s="220" t="str">
        <f t="shared" si="5"/>
        <v>20/6/2008</v>
      </c>
      <c r="H29" s="136">
        <v>20</v>
      </c>
      <c r="I29" s="136">
        <v>6</v>
      </c>
      <c r="J29" s="136">
        <v>2008</v>
      </c>
      <c r="K29" s="136" t="s">
        <v>184</v>
      </c>
      <c r="L29" s="138">
        <v>40</v>
      </c>
      <c r="M29" s="136" t="s">
        <v>225</v>
      </c>
      <c r="N29" s="339">
        <v>2366.4</v>
      </c>
      <c r="O29" s="136">
        <v>5</v>
      </c>
      <c r="P29" s="112">
        <f t="shared" si="3"/>
        <v>39.423333333333339</v>
      </c>
      <c r="Q29" s="340">
        <f t="shared" si="1"/>
        <v>2365.4000000000005</v>
      </c>
      <c r="R29" s="340">
        <f t="shared" si="4"/>
        <v>0.99999999999954525</v>
      </c>
      <c r="S29" s="136">
        <v>11232</v>
      </c>
      <c r="U29" s="121">
        <f t="shared" si="2"/>
        <v>60</v>
      </c>
    </row>
    <row r="30" spans="2:21" s="136" customFormat="1" ht="15.75">
      <c r="B30" s="338" t="s">
        <v>251</v>
      </c>
      <c r="C30" s="136" t="s">
        <v>250</v>
      </c>
      <c r="D30" s="136" t="s">
        <v>249</v>
      </c>
      <c r="F30" s="136" t="s">
        <v>248</v>
      </c>
      <c r="G30" s="220" t="str">
        <f t="shared" si="5"/>
        <v>20/6/2008</v>
      </c>
      <c r="H30" s="136">
        <v>20</v>
      </c>
      <c r="I30" s="136">
        <v>6</v>
      </c>
      <c r="J30" s="136">
        <v>2008</v>
      </c>
      <c r="K30" s="136" t="s">
        <v>184</v>
      </c>
      <c r="L30" s="138">
        <v>40</v>
      </c>
      <c r="M30" s="136" t="s">
        <v>225</v>
      </c>
      <c r="N30" s="339">
        <v>2366.4</v>
      </c>
      <c r="O30" s="136">
        <v>5</v>
      </c>
      <c r="P30" s="112">
        <f t="shared" si="3"/>
        <v>39.423333333333339</v>
      </c>
      <c r="Q30" s="340">
        <f t="shared" si="1"/>
        <v>2365.4000000000005</v>
      </c>
      <c r="R30" s="340">
        <f t="shared" si="4"/>
        <v>0.99999999999954525</v>
      </c>
      <c r="S30" s="136">
        <v>11232</v>
      </c>
      <c r="U30" s="121">
        <f t="shared" si="2"/>
        <v>60</v>
      </c>
    </row>
    <row r="31" spans="2:21" s="136" customFormat="1" ht="15.75">
      <c r="B31" s="338" t="s">
        <v>251</v>
      </c>
      <c r="C31" s="136" t="s">
        <v>250</v>
      </c>
      <c r="D31" s="136" t="s">
        <v>249</v>
      </c>
      <c r="F31" s="136" t="s">
        <v>248</v>
      </c>
      <c r="G31" s="220" t="str">
        <f t="shared" si="5"/>
        <v>20/6/2008</v>
      </c>
      <c r="H31" s="136">
        <v>20</v>
      </c>
      <c r="I31" s="136">
        <v>6</v>
      </c>
      <c r="J31" s="136">
        <v>2008</v>
      </c>
      <c r="K31" s="136" t="s">
        <v>184</v>
      </c>
      <c r="L31" s="138">
        <v>40</v>
      </c>
      <c r="M31" s="136" t="s">
        <v>225</v>
      </c>
      <c r="N31" s="339">
        <v>2366.4</v>
      </c>
      <c r="O31" s="136">
        <v>5</v>
      </c>
      <c r="P31" s="112">
        <f t="shared" si="3"/>
        <v>39.423333333333339</v>
      </c>
      <c r="Q31" s="340">
        <f t="shared" si="1"/>
        <v>2365.4000000000005</v>
      </c>
      <c r="R31" s="340">
        <f t="shared" si="4"/>
        <v>0.99999999999954525</v>
      </c>
      <c r="S31" s="136">
        <v>11232</v>
      </c>
      <c r="U31" s="121">
        <f t="shared" si="2"/>
        <v>60</v>
      </c>
    </row>
    <row r="32" spans="2:21" s="136" customFormat="1" ht="15.75">
      <c r="B32" s="338" t="s">
        <v>247</v>
      </c>
      <c r="F32" s="136" t="s">
        <v>246</v>
      </c>
      <c r="G32" s="220" t="str">
        <f t="shared" si="5"/>
        <v>20/6/2008</v>
      </c>
      <c r="H32" s="136">
        <v>20</v>
      </c>
      <c r="I32" s="136">
        <v>6</v>
      </c>
      <c r="J32" s="136">
        <v>2008</v>
      </c>
      <c r="K32" s="136" t="s">
        <v>184</v>
      </c>
      <c r="L32" s="138">
        <v>40</v>
      </c>
      <c r="M32" s="136" t="s">
        <v>225</v>
      </c>
      <c r="N32" s="339">
        <v>30740</v>
      </c>
      <c r="O32" s="136">
        <v>5</v>
      </c>
      <c r="P32" s="112">
        <f t="shared" si="3"/>
        <v>512.31666666666672</v>
      </c>
      <c r="Q32" s="340">
        <f t="shared" si="1"/>
        <v>30739.000000000004</v>
      </c>
      <c r="R32" s="340">
        <f t="shared" si="4"/>
        <v>0.99999999999636202</v>
      </c>
      <c r="S32" s="136">
        <v>11232</v>
      </c>
      <c r="U32" s="121">
        <f t="shared" si="2"/>
        <v>60</v>
      </c>
    </row>
    <row r="33" spans="2:21" s="136" customFormat="1" ht="15.75">
      <c r="B33" s="338" t="s">
        <v>247</v>
      </c>
      <c r="F33" s="136" t="s">
        <v>246</v>
      </c>
      <c r="G33" s="220" t="str">
        <f t="shared" si="5"/>
        <v>20/6/2008</v>
      </c>
      <c r="H33" s="136">
        <v>20</v>
      </c>
      <c r="I33" s="136">
        <v>6</v>
      </c>
      <c r="J33" s="136">
        <v>2008</v>
      </c>
      <c r="K33" s="136" t="s">
        <v>184</v>
      </c>
      <c r="L33" s="138">
        <v>40</v>
      </c>
      <c r="M33" s="136" t="s">
        <v>225</v>
      </c>
      <c r="N33" s="339">
        <v>30740</v>
      </c>
      <c r="O33" s="136">
        <v>5</v>
      </c>
      <c r="P33" s="112">
        <f t="shared" si="3"/>
        <v>512.31666666666672</v>
      </c>
      <c r="Q33" s="340">
        <f t="shared" si="1"/>
        <v>30739.000000000004</v>
      </c>
      <c r="R33" s="340">
        <f t="shared" si="4"/>
        <v>0.99999999999636202</v>
      </c>
      <c r="S33" s="136">
        <v>11232</v>
      </c>
      <c r="U33" s="121">
        <f t="shared" si="2"/>
        <v>60</v>
      </c>
    </row>
    <row r="34" spans="2:21" s="136" customFormat="1" ht="15.75">
      <c r="B34" s="338" t="s">
        <v>247</v>
      </c>
      <c r="F34" s="136" t="s">
        <v>246</v>
      </c>
      <c r="G34" s="220" t="str">
        <f t="shared" si="5"/>
        <v>20/6/2008</v>
      </c>
      <c r="H34" s="136">
        <v>20</v>
      </c>
      <c r="I34" s="136">
        <v>6</v>
      </c>
      <c r="J34" s="136">
        <v>2008</v>
      </c>
      <c r="K34" s="136" t="s">
        <v>184</v>
      </c>
      <c r="L34" s="138">
        <v>40</v>
      </c>
      <c r="M34" s="136" t="s">
        <v>225</v>
      </c>
      <c r="N34" s="339">
        <v>30740</v>
      </c>
      <c r="O34" s="136">
        <v>5</v>
      </c>
      <c r="P34" s="112">
        <f t="shared" si="3"/>
        <v>512.31666666666672</v>
      </c>
      <c r="Q34" s="340">
        <f t="shared" si="1"/>
        <v>30739.000000000004</v>
      </c>
      <c r="R34" s="340">
        <f t="shared" si="4"/>
        <v>0.99999999999636202</v>
      </c>
      <c r="S34" s="136">
        <v>11232</v>
      </c>
      <c r="U34" s="121">
        <f t="shared" si="2"/>
        <v>60</v>
      </c>
    </row>
    <row r="35" spans="2:21" s="136" customFormat="1" ht="15.75">
      <c r="B35" s="338" t="s">
        <v>247</v>
      </c>
      <c r="F35" s="136" t="s">
        <v>246</v>
      </c>
      <c r="G35" s="220" t="str">
        <f t="shared" si="5"/>
        <v>20/6/2008</v>
      </c>
      <c r="H35" s="136">
        <v>20</v>
      </c>
      <c r="I35" s="136">
        <v>6</v>
      </c>
      <c r="J35" s="136">
        <v>2008</v>
      </c>
      <c r="K35" s="136" t="s">
        <v>184</v>
      </c>
      <c r="L35" s="138">
        <v>40</v>
      </c>
      <c r="M35" s="136" t="s">
        <v>225</v>
      </c>
      <c r="N35" s="339"/>
      <c r="O35" s="136">
        <v>5</v>
      </c>
      <c r="P35" s="112">
        <f t="shared" si="3"/>
        <v>-1.6666666666666666E-2</v>
      </c>
      <c r="Q35" s="340">
        <f t="shared" si="1"/>
        <v>-1</v>
      </c>
      <c r="R35" s="340">
        <f t="shared" si="4"/>
        <v>1</v>
      </c>
      <c r="S35" s="136">
        <v>11232</v>
      </c>
      <c r="U35" s="121">
        <f t="shared" si="2"/>
        <v>60</v>
      </c>
    </row>
    <row r="36" spans="2:21" s="136" customFormat="1" ht="15.75">
      <c r="B36" s="338" t="s">
        <v>247</v>
      </c>
      <c r="F36" s="136" t="s">
        <v>246</v>
      </c>
      <c r="G36" s="220" t="str">
        <f t="shared" si="5"/>
        <v>20/6/2008</v>
      </c>
      <c r="H36" s="136">
        <v>20</v>
      </c>
      <c r="I36" s="136">
        <v>6</v>
      </c>
      <c r="J36" s="136">
        <v>2008</v>
      </c>
      <c r="K36" s="136" t="s">
        <v>184</v>
      </c>
      <c r="L36" s="138">
        <v>40</v>
      </c>
      <c r="M36" s="136" t="s">
        <v>225</v>
      </c>
      <c r="N36" s="339">
        <v>30740</v>
      </c>
      <c r="O36" s="136">
        <v>5</v>
      </c>
      <c r="P36" s="112">
        <f t="shared" si="3"/>
        <v>512.31666666666672</v>
      </c>
      <c r="Q36" s="340">
        <f t="shared" si="1"/>
        <v>30739.000000000004</v>
      </c>
      <c r="R36" s="340">
        <f t="shared" si="4"/>
        <v>0.99999999999636202</v>
      </c>
      <c r="S36" s="136">
        <v>11232</v>
      </c>
      <c r="U36" s="121">
        <f t="shared" si="2"/>
        <v>60</v>
      </c>
    </row>
    <row r="37" spans="2:21" s="136" customFormat="1" ht="15.75">
      <c r="B37" s="338" t="s">
        <v>245</v>
      </c>
      <c r="C37" s="136" t="s">
        <v>244</v>
      </c>
      <c r="D37" s="136" t="s">
        <v>243</v>
      </c>
      <c r="F37" s="136" t="s">
        <v>242</v>
      </c>
      <c r="G37" s="220" t="str">
        <f t="shared" si="5"/>
        <v>22/9/2008</v>
      </c>
      <c r="H37" s="136">
        <v>22</v>
      </c>
      <c r="I37" s="136">
        <v>9</v>
      </c>
      <c r="J37" s="136">
        <v>2008</v>
      </c>
      <c r="L37" s="138">
        <v>101</v>
      </c>
      <c r="M37" s="136" t="s">
        <v>225</v>
      </c>
      <c r="N37" s="339">
        <v>27685</v>
      </c>
      <c r="O37" s="136">
        <v>5</v>
      </c>
      <c r="P37" s="112">
        <f t="shared" si="3"/>
        <v>461.40000000000003</v>
      </c>
      <c r="Q37" s="340">
        <f t="shared" si="1"/>
        <v>27684.000000000004</v>
      </c>
      <c r="R37" s="340">
        <f t="shared" si="4"/>
        <v>0.99999999999636202</v>
      </c>
      <c r="U37" s="121">
        <f t="shared" si="2"/>
        <v>60</v>
      </c>
    </row>
    <row r="38" spans="2:21" s="136" customFormat="1" ht="31.5">
      <c r="B38" s="338" t="s">
        <v>240</v>
      </c>
      <c r="F38" s="136" t="s">
        <v>237</v>
      </c>
      <c r="G38" s="220" t="str">
        <f t="shared" si="5"/>
        <v>9/10/2008</v>
      </c>
      <c r="H38" s="136">
        <v>9</v>
      </c>
      <c r="I38" s="136">
        <v>10</v>
      </c>
      <c r="J38" s="136">
        <v>2008</v>
      </c>
      <c r="L38" s="138"/>
      <c r="M38" s="136" t="s">
        <v>225</v>
      </c>
      <c r="N38" s="339">
        <v>30740</v>
      </c>
      <c r="O38" s="136">
        <v>5</v>
      </c>
      <c r="P38" s="112">
        <f t="shared" si="3"/>
        <v>512.31666666666672</v>
      </c>
      <c r="Q38" s="340">
        <f t="shared" si="1"/>
        <v>30739.000000000004</v>
      </c>
      <c r="R38" s="340">
        <f t="shared" si="4"/>
        <v>0.99999999999636202</v>
      </c>
      <c r="S38" s="136">
        <v>11552</v>
      </c>
      <c r="U38" s="121">
        <f t="shared" si="2"/>
        <v>60</v>
      </c>
    </row>
    <row r="39" spans="2:21" s="136" customFormat="1" ht="31.5">
      <c r="B39" s="338" t="s">
        <v>240</v>
      </c>
      <c r="F39" s="136" t="s">
        <v>241</v>
      </c>
      <c r="G39" s="220" t="str">
        <f t="shared" si="5"/>
        <v>9/10/2008</v>
      </c>
      <c r="H39" s="136">
        <v>9</v>
      </c>
      <c r="I39" s="136">
        <v>10</v>
      </c>
      <c r="J39" s="136">
        <v>2008</v>
      </c>
      <c r="L39" s="138"/>
      <c r="M39" s="136" t="s">
        <v>225</v>
      </c>
      <c r="N39" s="339">
        <v>30740</v>
      </c>
      <c r="O39" s="136">
        <v>5</v>
      </c>
      <c r="P39" s="112">
        <f t="shared" si="3"/>
        <v>512.31666666666672</v>
      </c>
      <c r="Q39" s="340">
        <f t="shared" si="1"/>
        <v>30739.000000000004</v>
      </c>
      <c r="R39" s="340">
        <f t="shared" si="4"/>
        <v>0.99999999999636202</v>
      </c>
      <c r="S39" s="136">
        <v>11552</v>
      </c>
      <c r="U39" s="121">
        <f t="shared" si="2"/>
        <v>60</v>
      </c>
    </row>
    <row r="40" spans="2:21" s="136" customFormat="1" ht="31.5">
      <c r="B40" s="338" t="s">
        <v>240</v>
      </c>
      <c r="F40" s="136" t="s">
        <v>237</v>
      </c>
      <c r="G40" s="220" t="str">
        <f t="shared" si="5"/>
        <v>9/10/2008</v>
      </c>
      <c r="H40" s="136">
        <v>9</v>
      </c>
      <c r="I40" s="136">
        <v>10</v>
      </c>
      <c r="J40" s="136">
        <v>2008</v>
      </c>
      <c r="L40" s="138"/>
      <c r="M40" s="136" t="s">
        <v>225</v>
      </c>
      <c r="N40" s="339">
        <v>30740</v>
      </c>
      <c r="O40" s="136">
        <v>5</v>
      </c>
      <c r="P40" s="112">
        <f t="shared" si="3"/>
        <v>512.31666666666672</v>
      </c>
      <c r="Q40" s="340">
        <f t="shared" si="1"/>
        <v>30739.000000000004</v>
      </c>
      <c r="R40" s="340">
        <f t="shared" si="4"/>
        <v>0.99999999999636202</v>
      </c>
      <c r="S40" s="136">
        <v>11552</v>
      </c>
      <c r="U40" s="121">
        <f t="shared" si="2"/>
        <v>60</v>
      </c>
    </row>
    <row r="41" spans="2:21" s="136" customFormat="1" ht="31.5">
      <c r="B41" s="338" t="s">
        <v>240</v>
      </c>
      <c r="F41" s="136" t="s">
        <v>237</v>
      </c>
      <c r="G41" s="220" t="str">
        <f t="shared" si="5"/>
        <v>9/10/2008</v>
      </c>
      <c r="H41" s="136">
        <v>9</v>
      </c>
      <c r="I41" s="136">
        <v>10</v>
      </c>
      <c r="J41" s="136">
        <v>2008</v>
      </c>
      <c r="L41" s="138"/>
      <c r="M41" s="136" t="s">
        <v>225</v>
      </c>
      <c r="N41" s="339">
        <v>30740</v>
      </c>
      <c r="O41" s="136">
        <v>5</v>
      </c>
      <c r="P41" s="112">
        <f t="shared" si="3"/>
        <v>512.31666666666672</v>
      </c>
      <c r="Q41" s="340">
        <f t="shared" si="1"/>
        <v>30739.000000000004</v>
      </c>
      <c r="R41" s="340">
        <f t="shared" si="4"/>
        <v>0.99999999999636202</v>
      </c>
      <c r="S41" s="136">
        <v>11552</v>
      </c>
      <c r="U41" s="121">
        <f t="shared" si="2"/>
        <v>60</v>
      </c>
    </row>
    <row r="42" spans="2:21" s="136" customFormat="1" ht="15.75">
      <c r="B42" s="338" t="s">
        <v>239</v>
      </c>
      <c r="C42" s="136" t="s">
        <v>238</v>
      </c>
      <c r="F42" s="136" t="s">
        <v>237</v>
      </c>
      <c r="G42" s="220" t="str">
        <f t="shared" si="5"/>
        <v>9/10/2008</v>
      </c>
      <c r="H42" s="136">
        <v>9</v>
      </c>
      <c r="I42" s="136">
        <v>10</v>
      </c>
      <c r="J42" s="136">
        <v>2008</v>
      </c>
      <c r="L42" s="138"/>
      <c r="M42" s="136" t="s">
        <v>225</v>
      </c>
      <c r="N42" s="339">
        <v>2366.4</v>
      </c>
      <c r="O42" s="136">
        <v>5</v>
      </c>
      <c r="P42" s="112">
        <f t="shared" si="3"/>
        <v>39.423333333333339</v>
      </c>
      <c r="Q42" s="340">
        <f t="shared" si="1"/>
        <v>2365.4000000000005</v>
      </c>
      <c r="R42" s="340">
        <f t="shared" si="4"/>
        <v>0.99999999999954525</v>
      </c>
      <c r="S42" s="136">
        <v>11552</v>
      </c>
      <c r="U42" s="121">
        <f t="shared" si="2"/>
        <v>60</v>
      </c>
    </row>
    <row r="43" spans="2:21" s="136" customFormat="1" ht="15.75">
      <c r="B43" s="338" t="s">
        <v>239</v>
      </c>
      <c r="C43" s="136" t="s">
        <v>238</v>
      </c>
      <c r="F43" s="136" t="s">
        <v>237</v>
      </c>
      <c r="G43" s="220" t="str">
        <f t="shared" si="5"/>
        <v>9/10/2008</v>
      </c>
      <c r="H43" s="136">
        <v>9</v>
      </c>
      <c r="I43" s="136">
        <v>10</v>
      </c>
      <c r="J43" s="136">
        <v>2008</v>
      </c>
      <c r="L43" s="138"/>
      <c r="M43" s="136" t="s">
        <v>225</v>
      </c>
      <c r="N43" s="339">
        <v>2366.4</v>
      </c>
      <c r="O43" s="136">
        <v>5</v>
      </c>
      <c r="P43" s="112">
        <f t="shared" si="3"/>
        <v>39.423333333333339</v>
      </c>
      <c r="Q43" s="340">
        <f t="shared" si="1"/>
        <v>2365.4000000000005</v>
      </c>
      <c r="R43" s="340">
        <f t="shared" si="4"/>
        <v>0.99999999999954525</v>
      </c>
      <c r="S43" s="136">
        <v>11552</v>
      </c>
      <c r="U43" s="121">
        <f t="shared" si="2"/>
        <v>60</v>
      </c>
    </row>
    <row r="44" spans="2:21" s="136" customFormat="1" ht="15.75">
      <c r="B44" s="338" t="s">
        <v>239</v>
      </c>
      <c r="C44" s="136" t="s">
        <v>238</v>
      </c>
      <c r="F44" s="136" t="s">
        <v>237</v>
      </c>
      <c r="G44" s="220" t="str">
        <f t="shared" si="5"/>
        <v>9/10/2008</v>
      </c>
      <c r="H44" s="136">
        <v>9</v>
      </c>
      <c r="I44" s="136">
        <v>10</v>
      </c>
      <c r="J44" s="136">
        <v>2008</v>
      </c>
      <c r="L44" s="138"/>
      <c r="M44" s="136" t="s">
        <v>225</v>
      </c>
      <c r="N44" s="339">
        <v>2366.4</v>
      </c>
      <c r="O44" s="136">
        <v>5</v>
      </c>
      <c r="P44" s="112">
        <f t="shared" si="3"/>
        <v>39.423333333333339</v>
      </c>
      <c r="Q44" s="340">
        <f t="shared" si="1"/>
        <v>2365.4000000000005</v>
      </c>
      <c r="R44" s="340">
        <f t="shared" si="4"/>
        <v>0.99999999999954525</v>
      </c>
      <c r="S44" s="136">
        <v>11552</v>
      </c>
      <c r="U44" s="121">
        <f t="shared" si="2"/>
        <v>60</v>
      </c>
    </row>
    <row r="45" spans="2:21" s="136" customFormat="1" ht="15.75">
      <c r="B45" s="338" t="s">
        <v>239</v>
      </c>
      <c r="C45" s="136" t="s">
        <v>238</v>
      </c>
      <c r="F45" s="136" t="s">
        <v>237</v>
      </c>
      <c r="G45" s="220" t="str">
        <f t="shared" si="5"/>
        <v>9/10/2008</v>
      </c>
      <c r="H45" s="136">
        <v>9</v>
      </c>
      <c r="I45" s="136">
        <v>10</v>
      </c>
      <c r="J45" s="136">
        <v>2008</v>
      </c>
      <c r="L45" s="138"/>
      <c r="M45" s="136" t="s">
        <v>225</v>
      </c>
      <c r="N45" s="339">
        <v>2366.4</v>
      </c>
      <c r="O45" s="136">
        <v>5</v>
      </c>
      <c r="P45" s="112">
        <f t="shared" si="3"/>
        <v>39.423333333333339</v>
      </c>
      <c r="Q45" s="340">
        <f t="shared" si="1"/>
        <v>2365.4000000000005</v>
      </c>
      <c r="R45" s="340">
        <f t="shared" si="4"/>
        <v>0.99999999999954525</v>
      </c>
      <c r="S45" s="136">
        <v>11552</v>
      </c>
      <c r="U45" s="121">
        <f t="shared" si="2"/>
        <v>60</v>
      </c>
    </row>
    <row r="46" spans="2:21" s="136" customFormat="1" ht="15.75">
      <c r="B46" s="338" t="s">
        <v>236</v>
      </c>
      <c r="F46" s="136" t="s">
        <v>230</v>
      </c>
      <c r="G46" s="220" t="str">
        <f t="shared" si="5"/>
        <v>8/9/2008</v>
      </c>
      <c r="H46" s="136">
        <v>8</v>
      </c>
      <c r="I46" s="136">
        <v>9</v>
      </c>
      <c r="J46" s="136">
        <v>2008</v>
      </c>
      <c r="L46" s="138"/>
      <c r="M46" s="136" t="s">
        <v>225</v>
      </c>
      <c r="N46" s="339">
        <v>5788.4</v>
      </c>
      <c r="O46" s="136">
        <v>5</v>
      </c>
      <c r="P46" s="112">
        <f t="shared" si="3"/>
        <v>96.456666666666663</v>
      </c>
      <c r="Q46" s="340">
        <f t="shared" si="1"/>
        <v>5787.4</v>
      </c>
      <c r="R46" s="340">
        <f t="shared" si="4"/>
        <v>1</v>
      </c>
      <c r="U46" s="121">
        <f t="shared" si="2"/>
        <v>60</v>
      </c>
    </row>
    <row r="47" spans="2:21" s="136" customFormat="1" ht="31.5">
      <c r="B47" s="338" t="s">
        <v>235</v>
      </c>
      <c r="F47" s="136" t="s">
        <v>230</v>
      </c>
      <c r="G47" s="220" t="str">
        <f t="shared" si="5"/>
        <v>8/9/2008</v>
      </c>
      <c r="H47" s="136">
        <v>8</v>
      </c>
      <c r="I47" s="136">
        <v>9</v>
      </c>
      <c r="J47" s="136">
        <v>2008</v>
      </c>
      <c r="L47" s="138"/>
      <c r="M47" s="136" t="s">
        <v>225</v>
      </c>
      <c r="N47" s="339">
        <v>27358.6</v>
      </c>
      <c r="O47" s="136">
        <v>5</v>
      </c>
      <c r="P47" s="112">
        <f t="shared" si="3"/>
        <v>455.96</v>
      </c>
      <c r="Q47" s="340">
        <f t="shared" si="1"/>
        <v>27357.599999999999</v>
      </c>
      <c r="R47" s="340">
        <f t="shared" si="4"/>
        <v>1</v>
      </c>
      <c r="U47" s="121">
        <f t="shared" si="2"/>
        <v>60</v>
      </c>
    </row>
    <row r="48" spans="2:21" s="136" customFormat="1" ht="15.75">
      <c r="B48" s="338" t="s">
        <v>234</v>
      </c>
      <c r="F48" s="136" t="s">
        <v>230</v>
      </c>
      <c r="G48" s="220" t="str">
        <f t="shared" si="5"/>
        <v>8/9/2008</v>
      </c>
      <c r="H48" s="136">
        <v>8</v>
      </c>
      <c r="I48" s="136">
        <v>9</v>
      </c>
      <c r="J48" s="136">
        <v>2008</v>
      </c>
      <c r="L48" s="138"/>
      <c r="M48" s="136" t="s">
        <v>225</v>
      </c>
      <c r="N48" s="339">
        <v>46487</v>
      </c>
      <c r="O48" s="136">
        <v>5</v>
      </c>
      <c r="P48" s="112">
        <f t="shared" si="3"/>
        <v>774.76666666666677</v>
      </c>
      <c r="Q48" s="340">
        <f t="shared" si="1"/>
        <v>46486.000000000007</v>
      </c>
      <c r="R48" s="340">
        <f t="shared" si="4"/>
        <v>0.99999999999272404</v>
      </c>
      <c r="U48" s="121">
        <f t="shared" si="2"/>
        <v>60</v>
      </c>
    </row>
    <row r="49" spans="1:21" s="136" customFormat="1" ht="15.75">
      <c r="B49" s="338" t="s">
        <v>233</v>
      </c>
      <c r="F49" s="136" t="s">
        <v>230</v>
      </c>
      <c r="G49" s="220" t="str">
        <f t="shared" si="5"/>
        <v>8/9/2008</v>
      </c>
      <c r="H49" s="136">
        <v>8</v>
      </c>
      <c r="I49" s="136">
        <v>9</v>
      </c>
      <c r="J49" s="136">
        <v>2008</v>
      </c>
      <c r="L49" s="138"/>
      <c r="M49" s="136" t="s">
        <v>225</v>
      </c>
      <c r="N49" s="339">
        <v>37700</v>
      </c>
      <c r="O49" s="136">
        <v>5</v>
      </c>
      <c r="P49" s="112">
        <f t="shared" si="3"/>
        <v>628.31666666666672</v>
      </c>
      <c r="Q49" s="340">
        <f t="shared" si="1"/>
        <v>37699</v>
      </c>
      <c r="R49" s="340">
        <f t="shared" si="4"/>
        <v>1</v>
      </c>
      <c r="U49" s="121">
        <f t="shared" si="2"/>
        <v>60</v>
      </c>
    </row>
    <row r="50" spans="1:21" s="136" customFormat="1" ht="15.75">
      <c r="B50" s="338" t="s">
        <v>232</v>
      </c>
      <c r="F50" s="136" t="s">
        <v>230</v>
      </c>
      <c r="G50" s="220" t="str">
        <f t="shared" si="5"/>
        <v>8/9/2008</v>
      </c>
      <c r="H50" s="136">
        <v>8</v>
      </c>
      <c r="I50" s="136">
        <v>9</v>
      </c>
      <c r="J50" s="136">
        <v>2008</v>
      </c>
      <c r="L50" s="138"/>
      <c r="M50" s="136" t="s">
        <v>225</v>
      </c>
      <c r="N50" s="339">
        <v>64588.800000000003</v>
      </c>
      <c r="O50" s="136">
        <v>5</v>
      </c>
      <c r="P50" s="112">
        <f t="shared" si="3"/>
        <v>1076.4633333333334</v>
      </c>
      <c r="Q50" s="340">
        <f t="shared" si="1"/>
        <v>64587.8</v>
      </c>
      <c r="R50" s="340">
        <f t="shared" si="4"/>
        <v>1</v>
      </c>
      <c r="U50" s="121">
        <f t="shared" si="2"/>
        <v>60</v>
      </c>
    </row>
    <row r="51" spans="1:21" s="136" customFormat="1" ht="15.75">
      <c r="B51" s="338" t="s">
        <v>231</v>
      </c>
      <c r="F51" s="136" t="s">
        <v>230</v>
      </c>
      <c r="G51" s="220" t="str">
        <f t="shared" si="5"/>
        <v>8/9/2008</v>
      </c>
      <c r="H51" s="136">
        <v>8</v>
      </c>
      <c r="I51" s="136">
        <v>9</v>
      </c>
      <c r="J51" s="136">
        <v>2008</v>
      </c>
      <c r="L51" s="138"/>
      <c r="M51" s="136" t="s">
        <v>225</v>
      </c>
      <c r="N51" s="339">
        <v>37642</v>
      </c>
      <c r="O51" s="136">
        <v>5</v>
      </c>
      <c r="P51" s="112">
        <f t="shared" si="3"/>
        <v>627.35</v>
      </c>
      <c r="Q51" s="340">
        <f t="shared" si="1"/>
        <v>37641</v>
      </c>
      <c r="R51" s="340">
        <f t="shared" si="4"/>
        <v>1</v>
      </c>
      <c r="U51" s="121">
        <f t="shared" si="2"/>
        <v>60</v>
      </c>
    </row>
    <row r="52" spans="1:21" s="341" customFormat="1" ht="15.75">
      <c r="A52" s="341" t="s">
        <v>87</v>
      </c>
      <c r="B52" s="338"/>
      <c r="G52" s="220"/>
      <c r="L52" s="342"/>
      <c r="N52" s="343">
        <f>SUM(N8:N51)</f>
        <v>646291.88000000012</v>
      </c>
      <c r="P52" s="343">
        <f>SUM(P8:P51)</f>
        <v>10770.797999999999</v>
      </c>
      <c r="Q52" s="343">
        <f>SUM(Q8:Q51)</f>
        <v>646247.88000000012</v>
      </c>
      <c r="R52" s="343">
        <f>SUM(R8:R51)</f>
        <v>43.999999999963165</v>
      </c>
      <c r="U52" s="121"/>
    </row>
    <row r="53" spans="1:21" s="136" customFormat="1" ht="15.75">
      <c r="B53" s="338"/>
      <c r="G53" s="220"/>
      <c r="L53" s="138"/>
      <c r="N53" s="339"/>
      <c r="P53" s="340"/>
      <c r="Q53" s="340"/>
      <c r="U53" s="121"/>
    </row>
    <row r="54" spans="1:21" s="136" customFormat="1" ht="15.75">
      <c r="B54" s="338" t="s">
        <v>229</v>
      </c>
      <c r="C54" s="97" t="s">
        <v>227</v>
      </c>
      <c r="D54" s="97"/>
      <c r="E54" s="97"/>
      <c r="F54" s="97" t="s">
        <v>226</v>
      </c>
      <c r="G54" s="220" t="str">
        <f t="shared" si="5"/>
        <v>9/1/2009</v>
      </c>
      <c r="H54" s="97">
        <v>9</v>
      </c>
      <c r="I54" s="97">
        <v>1</v>
      </c>
      <c r="J54" s="97">
        <v>2009</v>
      </c>
      <c r="K54" s="97" t="s">
        <v>54</v>
      </c>
      <c r="L54" s="98">
        <v>19001</v>
      </c>
      <c r="M54" s="97" t="s">
        <v>225</v>
      </c>
      <c r="N54" s="344">
        <v>9164</v>
      </c>
      <c r="O54" s="97">
        <v>5</v>
      </c>
      <c r="P54" s="112">
        <f t="shared" ref="P54:P59" si="6">(((N54)-1)/5)/12</f>
        <v>152.71666666666667</v>
      </c>
      <c r="Q54" s="340">
        <f t="shared" ref="Q54:Q59" si="7">P54*U54</f>
        <v>9163</v>
      </c>
      <c r="R54" s="340">
        <f t="shared" ref="R54:R59" si="8">N54-Q54</f>
        <v>1</v>
      </c>
      <c r="U54" s="121">
        <f t="shared" ref="U54:U59" si="9">IF((DATEDIF(G54,U$5,"m"))&gt;=60,60,(DATEDIF(G54,U$5,"m")))</f>
        <v>60</v>
      </c>
    </row>
    <row r="55" spans="1:21" s="136" customFormat="1" ht="15.75">
      <c r="B55" s="338" t="s">
        <v>228</v>
      </c>
      <c r="C55" s="97" t="s">
        <v>227</v>
      </c>
      <c r="D55" s="97"/>
      <c r="E55" s="97"/>
      <c r="F55" s="97" t="s">
        <v>226</v>
      </c>
      <c r="G55" s="220" t="str">
        <f t="shared" si="5"/>
        <v>9/1/2009</v>
      </c>
      <c r="H55" s="97">
        <v>9</v>
      </c>
      <c r="I55" s="97">
        <v>1</v>
      </c>
      <c r="J55" s="97">
        <v>2009</v>
      </c>
      <c r="K55" s="97" t="s">
        <v>54</v>
      </c>
      <c r="L55" s="98">
        <v>19001</v>
      </c>
      <c r="M55" s="97" t="s">
        <v>225</v>
      </c>
      <c r="N55" s="344">
        <v>9164</v>
      </c>
      <c r="O55" s="97">
        <v>5</v>
      </c>
      <c r="P55" s="112">
        <f t="shared" si="6"/>
        <v>152.71666666666667</v>
      </c>
      <c r="Q55" s="340">
        <f t="shared" si="7"/>
        <v>9163</v>
      </c>
      <c r="R55" s="340">
        <f t="shared" si="8"/>
        <v>1</v>
      </c>
      <c r="U55" s="121">
        <f t="shared" si="9"/>
        <v>60</v>
      </c>
    </row>
    <row r="56" spans="1:21" s="136" customFormat="1" ht="15.75">
      <c r="B56" s="338" t="s">
        <v>228</v>
      </c>
      <c r="C56" s="97" t="s">
        <v>227</v>
      </c>
      <c r="D56" s="97"/>
      <c r="E56" s="97"/>
      <c r="F56" s="97" t="s">
        <v>226</v>
      </c>
      <c r="G56" s="220" t="str">
        <f t="shared" si="5"/>
        <v>9/1/2009</v>
      </c>
      <c r="H56" s="97">
        <v>9</v>
      </c>
      <c r="I56" s="97">
        <v>1</v>
      </c>
      <c r="J56" s="97">
        <v>2009</v>
      </c>
      <c r="K56" s="97" t="s">
        <v>54</v>
      </c>
      <c r="L56" s="98">
        <v>19001</v>
      </c>
      <c r="M56" s="97" t="s">
        <v>225</v>
      </c>
      <c r="N56" s="344">
        <v>9164</v>
      </c>
      <c r="O56" s="97">
        <v>5</v>
      </c>
      <c r="P56" s="112">
        <f t="shared" si="6"/>
        <v>152.71666666666667</v>
      </c>
      <c r="Q56" s="340">
        <f t="shared" si="7"/>
        <v>9163</v>
      </c>
      <c r="R56" s="340">
        <f t="shared" si="8"/>
        <v>1</v>
      </c>
      <c r="U56" s="121">
        <f t="shared" si="9"/>
        <v>60</v>
      </c>
    </row>
    <row r="57" spans="1:21" s="136" customFormat="1" ht="15.75">
      <c r="B57" s="338" t="s">
        <v>228</v>
      </c>
      <c r="C57" s="97" t="s">
        <v>227</v>
      </c>
      <c r="D57" s="97"/>
      <c r="E57" s="97"/>
      <c r="F57" s="97" t="s">
        <v>226</v>
      </c>
      <c r="G57" s="220" t="str">
        <f t="shared" si="5"/>
        <v>9/1/2009</v>
      </c>
      <c r="H57" s="97">
        <v>9</v>
      </c>
      <c r="I57" s="97">
        <v>1</v>
      </c>
      <c r="J57" s="97">
        <v>2009</v>
      </c>
      <c r="K57" s="97" t="s">
        <v>54</v>
      </c>
      <c r="L57" s="98">
        <v>19001</v>
      </c>
      <c r="M57" s="97" t="s">
        <v>225</v>
      </c>
      <c r="N57" s="344">
        <v>9164</v>
      </c>
      <c r="O57" s="97">
        <v>5</v>
      </c>
      <c r="P57" s="112">
        <f t="shared" si="6"/>
        <v>152.71666666666667</v>
      </c>
      <c r="Q57" s="340">
        <f t="shared" si="7"/>
        <v>9163</v>
      </c>
      <c r="R57" s="340">
        <f t="shared" si="8"/>
        <v>1</v>
      </c>
      <c r="U57" s="121">
        <f t="shared" si="9"/>
        <v>60</v>
      </c>
    </row>
    <row r="58" spans="1:21" s="136" customFormat="1" ht="15.75">
      <c r="B58" s="338" t="s">
        <v>228</v>
      </c>
      <c r="C58" s="97" t="s">
        <v>227</v>
      </c>
      <c r="D58" s="97"/>
      <c r="E58" s="97"/>
      <c r="F58" s="97" t="s">
        <v>226</v>
      </c>
      <c r="G58" s="220" t="str">
        <f t="shared" si="5"/>
        <v>9/1/2009</v>
      </c>
      <c r="H58" s="97">
        <v>9</v>
      </c>
      <c r="I58" s="97">
        <v>1</v>
      </c>
      <c r="J58" s="97">
        <v>2009</v>
      </c>
      <c r="K58" s="97" t="s">
        <v>54</v>
      </c>
      <c r="L58" s="98">
        <v>19001</v>
      </c>
      <c r="M58" s="97" t="s">
        <v>225</v>
      </c>
      <c r="N58" s="344">
        <v>9164</v>
      </c>
      <c r="O58" s="97">
        <v>5</v>
      </c>
      <c r="P58" s="112">
        <f t="shared" si="6"/>
        <v>152.71666666666667</v>
      </c>
      <c r="Q58" s="340">
        <f t="shared" si="7"/>
        <v>9163</v>
      </c>
      <c r="R58" s="340">
        <f t="shared" si="8"/>
        <v>1</v>
      </c>
      <c r="U58" s="121">
        <f t="shared" si="9"/>
        <v>60</v>
      </c>
    </row>
    <row r="59" spans="1:21" s="136" customFormat="1" ht="15.75">
      <c r="B59" s="338" t="s">
        <v>228</v>
      </c>
      <c r="C59" s="97" t="s">
        <v>227</v>
      </c>
      <c r="D59" s="97"/>
      <c r="E59" s="97"/>
      <c r="F59" s="97" t="s">
        <v>226</v>
      </c>
      <c r="G59" s="220" t="str">
        <f t="shared" si="5"/>
        <v>9/1/2009</v>
      </c>
      <c r="H59" s="97">
        <v>9</v>
      </c>
      <c r="I59" s="97">
        <v>1</v>
      </c>
      <c r="J59" s="97">
        <v>2009</v>
      </c>
      <c r="K59" s="97" t="s">
        <v>54</v>
      </c>
      <c r="L59" s="98">
        <v>19001</v>
      </c>
      <c r="M59" s="97" t="s">
        <v>225</v>
      </c>
      <c r="N59" s="344">
        <v>9164</v>
      </c>
      <c r="O59" s="97">
        <v>5</v>
      </c>
      <c r="P59" s="112">
        <f t="shared" si="6"/>
        <v>152.71666666666667</v>
      </c>
      <c r="Q59" s="340">
        <f t="shared" si="7"/>
        <v>9163</v>
      </c>
      <c r="R59" s="340">
        <f t="shared" si="8"/>
        <v>1</v>
      </c>
      <c r="U59" s="121">
        <f t="shared" si="9"/>
        <v>60</v>
      </c>
    </row>
    <row r="60" spans="1:21" s="136" customFormat="1" ht="15.75">
      <c r="A60" s="341" t="s">
        <v>79</v>
      </c>
      <c r="B60" s="338"/>
      <c r="G60" s="220"/>
      <c r="L60" s="138"/>
      <c r="N60" s="345">
        <f>SUM(N54:N59)</f>
        <v>54984</v>
      </c>
      <c r="P60" s="345">
        <f>SUM(P54:P59)</f>
        <v>916.30000000000007</v>
      </c>
      <c r="Q60" s="345">
        <f>SUM(Q54:Q59)</f>
        <v>54978</v>
      </c>
      <c r="R60" s="345">
        <f>SUM(R54:R59)</f>
        <v>6</v>
      </c>
      <c r="U60" s="121"/>
    </row>
    <row r="61" spans="1:21" s="136" customFormat="1" ht="15.75">
      <c r="A61" s="341"/>
      <c r="B61" s="338"/>
      <c r="G61" s="220"/>
      <c r="L61" s="138"/>
      <c r="N61" s="346"/>
      <c r="P61" s="346"/>
      <c r="Q61" s="346"/>
      <c r="R61" s="346"/>
      <c r="U61" s="121"/>
    </row>
    <row r="62" spans="1:21" s="136" customFormat="1" ht="15.75">
      <c r="A62" s="341"/>
      <c r="B62" s="338" t="s">
        <v>224</v>
      </c>
      <c r="F62" s="136" t="s">
        <v>221</v>
      </c>
      <c r="G62" s="220" t="str">
        <f t="shared" si="5"/>
        <v>14/4/2011</v>
      </c>
      <c r="H62" s="97">
        <v>14</v>
      </c>
      <c r="I62" s="97">
        <v>4</v>
      </c>
      <c r="J62" s="97">
        <v>2011</v>
      </c>
      <c r="L62" s="138"/>
      <c r="N62" s="137">
        <v>15000.01</v>
      </c>
      <c r="O62" s="97">
        <v>5</v>
      </c>
      <c r="P62" s="340">
        <f>(N62/O62)/12</f>
        <v>250.00016666666667</v>
      </c>
      <c r="Q62" s="340">
        <f>P62*U62</f>
        <v>9000.0059999999994</v>
      </c>
      <c r="R62" s="340">
        <f t="shared" ref="R62:R64" si="10">N62-Q62</f>
        <v>6000.0040000000008</v>
      </c>
      <c r="S62" s="109">
        <v>15407</v>
      </c>
      <c r="U62" s="121">
        <f>IF((DATEDIF(G62,U$5,"m"))&gt;=60,60,(DATEDIF(G62,U$5,"m")))</f>
        <v>36</v>
      </c>
    </row>
    <row r="63" spans="1:21" s="136" customFormat="1" ht="15.75">
      <c r="A63" s="341"/>
      <c r="B63" s="338" t="s">
        <v>223</v>
      </c>
      <c r="F63" s="136" t="s">
        <v>221</v>
      </c>
      <c r="G63" s="220" t="str">
        <f t="shared" si="5"/>
        <v>14/4/2011</v>
      </c>
      <c r="H63" s="97">
        <v>14</v>
      </c>
      <c r="I63" s="97">
        <v>4</v>
      </c>
      <c r="J63" s="97">
        <v>2011</v>
      </c>
      <c r="L63" s="138"/>
      <c r="N63" s="137">
        <v>2159.5700000000002</v>
      </c>
      <c r="O63" s="97">
        <v>5</v>
      </c>
      <c r="P63" s="340">
        <f>(N63/O63)/12</f>
        <v>35.992833333333337</v>
      </c>
      <c r="Q63" s="340">
        <f>P63*U63</f>
        <v>1295.7420000000002</v>
      </c>
      <c r="R63" s="340">
        <f t="shared" si="10"/>
        <v>863.82799999999997</v>
      </c>
      <c r="S63" s="109">
        <v>15407</v>
      </c>
      <c r="U63" s="121">
        <f>IF((DATEDIF(G63,U$5,"m"))&gt;=60,60,(DATEDIF(G63,U$5,"m")))</f>
        <v>36</v>
      </c>
    </row>
    <row r="64" spans="1:21" s="136" customFormat="1" ht="15.75">
      <c r="A64" s="341"/>
      <c r="B64" s="338" t="s">
        <v>222</v>
      </c>
      <c r="F64" s="136" t="s">
        <v>221</v>
      </c>
      <c r="G64" s="220" t="str">
        <f t="shared" si="5"/>
        <v>14/4/2011</v>
      </c>
      <c r="H64" s="97">
        <v>14</v>
      </c>
      <c r="I64" s="97">
        <v>4</v>
      </c>
      <c r="J64" s="97">
        <v>2011</v>
      </c>
      <c r="L64" s="138"/>
      <c r="N64" s="137">
        <v>20648</v>
      </c>
      <c r="O64" s="97">
        <v>5</v>
      </c>
      <c r="P64" s="340">
        <f>(N64/O64)/12</f>
        <v>344.13333333333338</v>
      </c>
      <c r="Q64" s="340">
        <f>P64*U64</f>
        <v>12388.800000000001</v>
      </c>
      <c r="R64" s="340">
        <f t="shared" si="10"/>
        <v>8259.1999999999989</v>
      </c>
      <c r="S64" s="109">
        <v>15407</v>
      </c>
      <c r="U64" s="121">
        <f>IF((DATEDIF(G64,U$5,"m"))&gt;=60,60,(DATEDIF(G64,U$5,"m")))</f>
        <v>36</v>
      </c>
    </row>
    <row r="65" spans="1:21" s="341" customFormat="1" ht="15.75">
      <c r="A65" s="341" t="s">
        <v>220</v>
      </c>
      <c r="B65" s="96"/>
      <c r="L65" s="342"/>
      <c r="N65" s="345">
        <f>SUM(N62:N64)</f>
        <v>37807.58</v>
      </c>
      <c r="P65" s="347">
        <f>SUM(P62:P64)</f>
        <v>630.12633333333338</v>
      </c>
      <c r="Q65" s="347">
        <f>SUM(Q62:Q64)</f>
        <v>22684.548000000003</v>
      </c>
      <c r="R65" s="347">
        <f>SUM(R62:R64)</f>
        <v>15123.031999999999</v>
      </c>
      <c r="U65" s="121"/>
    </row>
    <row r="66" spans="1:21" s="136" customFormat="1" ht="15.75">
      <c r="B66" s="97"/>
      <c r="L66" s="138"/>
      <c r="N66" s="422"/>
      <c r="P66" s="340"/>
      <c r="Q66" s="340"/>
      <c r="R66" s="340"/>
      <c r="U66" s="121"/>
    </row>
    <row r="67" spans="1:21" s="341" customFormat="1" ht="15.75">
      <c r="A67" s="341" t="s">
        <v>2651</v>
      </c>
      <c r="B67" s="96"/>
      <c r="L67" s="342"/>
      <c r="N67" s="425">
        <f>+N65+N60+N52</f>
        <v>739083.46000000008</v>
      </c>
      <c r="P67" s="425">
        <f>+P65+P60+P52</f>
        <v>12317.224333333332</v>
      </c>
      <c r="Q67" s="425">
        <f t="shared" ref="Q67:R67" si="11">+Q65+Q60+Q52</f>
        <v>723910.42800000007</v>
      </c>
      <c r="R67" s="425">
        <f t="shared" si="11"/>
        <v>15173.031999999963</v>
      </c>
      <c r="U67" s="423"/>
    </row>
    <row r="68" spans="1:21" s="136" customFormat="1" ht="15.75">
      <c r="B68" s="97"/>
      <c r="L68" s="138"/>
      <c r="N68" s="422"/>
      <c r="P68" s="340"/>
      <c r="Q68" s="340"/>
      <c r="R68" s="340"/>
      <c r="U68" s="121"/>
    </row>
    <row r="69" spans="1:21" s="136" customFormat="1" ht="15.75">
      <c r="B69" s="97" t="s">
        <v>2645</v>
      </c>
      <c r="F69" s="136" t="s">
        <v>2644</v>
      </c>
      <c r="G69" s="135">
        <v>41110</v>
      </c>
      <c r="H69" s="136">
        <v>20</v>
      </c>
      <c r="I69" s="136">
        <v>7</v>
      </c>
      <c r="J69" s="136">
        <v>2012</v>
      </c>
      <c r="K69" s="97" t="s">
        <v>54</v>
      </c>
      <c r="L69" s="138" t="s">
        <v>2643</v>
      </c>
      <c r="M69" s="97" t="s">
        <v>225</v>
      </c>
      <c r="N69" s="422">
        <f>17500*1.16</f>
        <v>20300</v>
      </c>
      <c r="O69" s="97">
        <v>5</v>
      </c>
      <c r="P69" s="340">
        <f>(N69/O69)/12</f>
        <v>338.33333333333331</v>
      </c>
      <c r="Q69" s="340">
        <f>P69*U69</f>
        <v>7105</v>
      </c>
      <c r="R69" s="340">
        <f t="shared" ref="R69" si="12">N69-Q69</f>
        <v>13195</v>
      </c>
      <c r="S69" s="136">
        <v>17271</v>
      </c>
      <c r="U69" s="121">
        <f t="shared" ref="U69:U90" si="13">IF((DATEDIF(G69,U$5,"m"))&gt;=60,60,(DATEDIF(G69,U$5,"m")))</f>
        <v>21</v>
      </c>
    </row>
    <row r="70" spans="1:21" s="136" customFormat="1" ht="15.75">
      <c r="B70" s="97" t="s">
        <v>2645</v>
      </c>
      <c r="F70" s="136" t="s">
        <v>2644</v>
      </c>
      <c r="G70" s="135">
        <v>41110</v>
      </c>
      <c r="H70" s="136">
        <v>20</v>
      </c>
      <c r="I70" s="136">
        <v>7</v>
      </c>
      <c r="J70" s="136">
        <v>2012</v>
      </c>
      <c r="K70" s="97" t="s">
        <v>54</v>
      </c>
      <c r="L70" s="138" t="s">
        <v>2643</v>
      </c>
      <c r="M70" s="97" t="s">
        <v>225</v>
      </c>
      <c r="N70" s="422">
        <f t="shared" ref="N70:N71" si="14">17500*1.16</f>
        <v>20300</v>
      </c>
      <c r="O70" s="97">
        <v>5</v>
      </c>
      <c r="P70" s="340">
        <f t="shared" ref="P70:P71" si="15">(N70/O70)/12</f>
        <v>338.33333333333331</v>
      </c>
      <c r="Q70" s="340">
        <f t="shared" ref="Q70:Q71" si="16">P70*U70</f>
        <v>7105</v>
      </c>
      <c r="R70" s="340">
        <f t="shared" ref="R70:R71" si="17">N70-Q70</f>
        <v>13195</v>
      </c>
      <c r="S70" s="136">
        <v>17271</v>
      </c>
      <c r="U70" s="121">
        <f t="shared" si="13"/>
        <v>21</v>
      </c>
    </row>
    <row r="71" spans="1:21" s="136" customFormat="1" ht="15.75">
      <c r="B71" s="97" t="s">
        <v>2645</v>
      </c>
      <c r="F71" s="136" t="s">
        <v>2644</v>
      </c>
      <c r="G71" s="135">
        <v>41110</v>
      </c>
      <c r="H71" s="136">
        <v>20</v>
      </c>
      <c r="I71" s="136">
        <v>7</v>
      </c>
      <c r="J71" s="136">
        <v>2012</v>
      </c>
      <c r="K71" s="97" t="s">
        <v>54</v>
      </c>
      <c r="L71" s="138" t="s">
        <v>2643</v>
      </c>
      <c r="M71" s="97" t="s">
        <v>225</v>
      </c>
      <c r="N71" s="422">
        <f t="shared" si="14"/>
        <v>20300</v>
      </c>
      <c r="O71" s="97">
        <v>5</v>
      </c>
      <c r="P71" s="340">
        <f t="shared" si="15"/>
        <v>338.33333333333331</v>
      </c>
      <c r="Q71" s="340">
        <f t="shared" si="16"/>
        <v>7105</v>
      </c>
      <c r="R71" s="340">
        <f t="shared" si="17"/>
        <v>13195</v>
      </c>
      <c r="S71" s="136">
        <v>17271</v>
      </c>
      <c r="U71" s="121">
        <f t="shared" si="13"/>
        <v>21</v>
      </c>
    </row>
    <row r="72" spans="1:21" s="136" customFormat="1" ht="15.75">
      <c r="B72" s="97" t="s">
        <v>2647</v>
      </c>
      <c r="F72" s="136" t="s">
        <v>2652</v>
      </c>
      <c r="G72" s="135">
        <v>41110</v>
      </c>
      <c r="H72" s="136">
        <v>20</v>
      </c>
      <c r="I72" s="136">
        <v>7</v>
      </c>
      <c r="J72" s="136">
        <v>2012</v>
      </c>
      <c r="K72" s="97" t="s">
        <v>54</v>
      </c>
      <c r="L72" s="138" t="s">
        <v>2646</v>
      </c>
      <c r="M72" s="97" t="s">
        <v>225</v>
      </c>
      <c r="N72" s="422">
        <f>850*1.16</f>
        <v>985.99999999999989</v>
      </c>
      <c r="O72" s="97">
        <v>6</v>
      </c>
      <c r="P72" s="340">
        <f t="shared" ref="P72:P90" si="18">(N72/O72)/12</f>
        <v>13.694444444444443</v>
      </c>
      <c r="Q72" s="340">
        <f t="shared" ref="Q72:Q90" si="19">P72*U72</f>
        <v>287.58333333333331</v>
      </c>
      <c r="R72" s="340">
        <f t="shared" ref="R72:R90" si="20">N72-Q72</f>
        <v>698.41666666666652</v>
      </c>
      <c r="S72" s="136">
        <v>17316</v>
      </c>
      <c r="U72" s="121">
        <f t="shared" si="13"/>
        <v>21</v>
      </c>
    </row>
    <row r="73" spans="1:21" s="136" customFormat="1" ht="15.75">
      <c r="B73" s="97" t="s">
        <v>2647</v>
      </c>
      <c r="F73" s="136" t="s">
        <v>2652</v>
      </c>
      <c r="G73" s="135">
        <v>41110</v>
      </c>
      <c r="H73" s="136">
        <v>20</v>
      </c>
      <c r="I73" s="136">
        <v>7</v>
      </c>
      <c r="J73" s="136">
        <v>2012</v>
      </c>
      <c r="K73" s="97" t="s">
        <v>54</v>
      </c>
      <c r="L73" s="138" t="s">
        <v>2646</v>
      </c>
      <c r="M73" s="97" t="s">
        <v>225</v>
      </c>
      <c r="N73" s="422">
        <f t="shared" ref="N73:N76" si="21">850*1.16</f>
        <v>985.99999999999989</v>
      </c>
      <c r="O73" s="97">
        <v>7</v>
      </c>
      <c r="P73" s="340">
        <f t="shared" si="18"/>
        <v>11.738095238095235</v>
      </c>
      <c r="Q73" s="340">
        <f t="shared" si="19"/>
        <v>246.49999999999994</v>
      </c>
      <c r="R73" s="340">
        <f t="shared" si="20"/>
        <v>739.5</v>
      </c>
      <c r="S73" s="136">
        <v>17316</v>
      </c>
      <c r="U73" s="121">
        <f t="shared" si="13"/>
        <v>21</v>
      </c>
    </row>
    <row r="74" spans="1:21" s="136" customFormat="1" ht="15.75">
      <c r="B74" s="97" t="s">
        <v>2647</v>
      </c>
      <c r="F74" s="136" t="s">
        <v>2652</v>
      </c>
      <c r="G74" s="135">
        <v>41110</v>
      </c>
      <c r="H74" s="136">
        <v>20</v>
      </c>
      <c r="I74" s="136">
        <v>7</v>
      </c>
      <c r="J74" s="136">
        <v>2012</v>
      </c>
      <c r="K74" s="97" t="s">
        <v>54</v>
      </c>
      <c r="L74" s="138" t="s">
        <v>2646</v>
      </c>
      <c r="M74" s="97" t="s">
        <v>225</v>
      </c>
      <c r="N74" s="422">
        <f t="shared" si="21"/>
        <v>985.99999999999989</v>
      </c>
      <c r="O74" s="97">
        <v>8</v>
      </c>
      <c r="P74" s="340">
        <f t="shared" si="18"/>
        <v>10.270833333333332</v>
      </c>
      <c r="Q74" s="340">
        <f t="shared" si="19"/>
        <v>215.68749999999997</v>
      </c>
      <c r="R74" s="340">
        <f t="shared" si="20"/>
        <v>770.31249999999989</v>
      </c>
      <c r="S74" s="136">
        <v>17316</v>
      </c>
      <c r="U74" s="121">
        <f t="shared" si="13"/>
        <v>21</v>
      </c>
    </row>
    <row r="75" spans="1:21" s="136" customFormat="1" ht="15.75">
      <c r="B75" s="97" t="s">
        <v>2647</v>
      </c>
      <c r="F75" s="136" t="s">
        <v>2652</v>
      </c>
      <c r="G75" s="135">
        <v>41110</v>
      </c>
      <c r="H75" s="136">
        <v>20</v>
      </c>
      <c r="I75" s="136">
        <v>7</v>
      </c>
      <c r="J75" s="136">
        <v>2012</v>
      </c>
      <c r="K75" s="97" t="s">
        <v>54</v>
      </c>
      <c r="L75" s="138" t="s">
        <v>2646</v>
      </c>
      <c r="M75" s="97" t="s">
        <v>225</v>
      </c>
      <c r="N75" s="422">
        <f t="shared" si="21"/>
        <v>985.99999999999989</v>
      </c>
      <c r="O75" s="97">
        <v>9</v>
      </c>
      <c r="P75" s="340">
        <f t="shared" si="18"/>
        <v>9.129629629629628</v>
      </c>
      <c r="Q75" s="340">
        <f t="shared" si="19"/>
        <v>191.7222222222222</v>
      </c>
      <c r="R75" s="340">
        <f t="shared" si="20"/>
        <v>794.27777777777771</v>
      </c>
      <c r="S75" s="136">
        <v>17316</v>
      </c>
      <c r="U75" s="121">
        <f t="shared" si="13"/>
        <v>21</v>
      </c>
    </row>
    <row r="76" spans="1:21" s="136" customFormat="1" ht="15.75">
      <c r="B76" s="97" t="s">
        <v>2647</v>
      </c>
      <c r="F76" s="136" t="s">
        <v>2652</v>
      </c>
      <c r="G76" s="135">
        <v>41110</v>
      </c>
      <c r="H76" s="136">
        <v>20</v>
      </c>
      <c r="I76" s="136">
        <v>7</v>
      </c>
      <c r="J76" s="136">
        <v>2012</v>
      </c>
      <c r="K76" s="97" t="s">
        <v>54</v>
      </c>
      <c r="L76" s="138" t="s">
        <v>2646</v>
      </c>
      <c r="M76" s="97" t="s">
        <v>225</v>
      </c>
      <c r="N76" s="422">
        <f t="shared" si="21"/>
        <v>985.99999999999989</v>
      </c>
      <c r="O76" s="97">
        <v>10</v>
      </c>
      <c r="P76" s="340">
        <f t="shared" si="18"/>
        <v>8.2166666666666668</v>
      </c>
      <c r="Q76" s="340">
        <f t="shared" si="19"/>
        <v>172.55</v>
      </c>
      <c r="R76" s="340">
        <f t="shared" si="20"/>
        <v>813.44999999999982</v>
      </c>
      <c r="S76" s="136">
        <v>17316</v>
      </c>
      <c r="U76" s="121">
        <f t="shared" si="13"/>
        <v>21</v>
      </c>
    </row>
    <row r="77" spans="1:21" s="136" customFormat="1" ht="15.75">
      <c r="B77" s="97" t="s">
        <v>2648</v>
      </c>
      <c r="F77" s="136" t="s">
        <v>2652</v>
      </c>
      <c r="G77" s="135">
        <v>41110</v>
      </c>
      <c r="H77" s="136">
        <v>20</v>
      </c>
      <c r="I77" s="136">
        <v>7</v>
      </c>
      <c r="J77" s="136">
        <v>2012</v>
      </c>
      <c r="K77" s="97" t="s">
        <v>54</v>
      </c>
      <c r="L77" s="138" t="s">
        <v>2646</v>
      </c>
      <c r="M77" s="97" t="s">
        <v>225</v>
      </c>
      <c r="N77" s="422">
        <f>1200*1.16</f>
        <v>1392</v>
      </c>
      <c r="O77" s="97">
        <v>11</v>
      </c>
      <c r="P77" s="340">
        <f t="shared" si="18"/>
        <v>10.545454545454545</v>
      </c>
      <c r="Q77" s="340">
        <f t="shared" si="19"/>
        <v>221.45454545454544</v>
      </c>
      <c r="R77" s="340">
        <f t="shared" si="20"/>
        <v>1170.5454545454545</v>
      </c>
      <c r="S77" s="136">
        <v>17316</v>
      </c>
      <c r="U77" s="121">
        <f t="shared" si="13"/>
        <v>21</v>
      </c>
    </row>
    <row r="78" spans="1:21" s="136" customFormat="1" ht="15.75">
      <c r="B78" s="97" t="s">
        <v>2648</v>
      </c>
      <c r="F78" s="136" t="s">
        <v>2652</v>
      </c>
      <c r="G78" s="135">
        <v>41110</v>
      </c>
      <c r="H78" s="136">
        <v>20</v>
      </c>
      <c r="I78" s="136">
        <v>7</v>
      </c>
      <c r="J78" s="136">
        <v>2012</v>
      </c>
      <c r="K78" s="97" t="s">
        <v>54</v>
      </c>
      <c r="L78" s="138" t="s">
        <v>2646</v>
      </c>
      <c r="M78" s="97" t="s">
        <v>225</v>
      </c>
      <c r="N78" s="422">
        <f t="shared" ref="N78:N82" si="22">1200*1.16</f>
        <v>1392</v>
      </c>
      <c r="O78" s="97">
        <v>12</v>
      </c>
      <c r="P78" s="340">
        <f t="shared" si="18"/>
        <v>9.6666666666666661</v>
      </c>
      <c r="Q78" s="340">
        <f t="shared" si="19"/>
        <v>203</v>
      </c>
      <c r="R78" s="340">
        <f t="shared" si="20"/>
        <v>1189</v>
      </c>
      <c r="S78" s="136">
        <v>17316</v>
      </c>
      <c r="U78" s="121">
        <f t="shared" si="13"/>
        <v>21</v>
      </c>
    </row>
    <row r="79" spans="1:21" s="136" customFormat="1" ht="15.75">
      <c r="B79" s="97" t="s">
        <v>2648</v>
      </c>
      <c r="F79" s="136" t="s">
        <v>2652</v>
      </c>
      <c r="G79" s="135">
        <v>41110</v>
      </c>
      <c r="H79" s="136">
        <v>20</v>
      </c>
      <c r="I79" s="136">
        <v>7</v>
      </c>
      <c r="J79" s="136">
        <v>2012</v>
      </c>
      <c r="K79" s="97" t="s">
        <v>54</v>
      </c>
      <c r="L79" s="138" t="s">
        <v>2646</v>
      </c>
      <c r="M79" s="97" t="s">
        <v>225</v>
      </c>
      <c r="N79" s="422">
        <f t="shared" si="22"/>
        <v>1392</v>
      </c>
      <c r="O79" s="97">
        <v>13</v>
      </c>
      <c r="P79" s="340">
        <f t="shared" si="18"/>
        <v>8.9230769230769234</v>
      </c>
      <c r="Q79" s="340">
        <f t="shared" si="19"/>
        <v>187.38461538461539</v>
      </c>
      <c r="R79" s="340">
        <f t="shared" si="20"/>
        <v>1204.6153846153845</v>
      </c>
      <c r="S79" s="136">
        <v>17316</v>
      </c>
      <c r="U79" s="121">
        <f t="shared" si="13"/>
        <v>21</v>
      </c>
    </row>
    <row r="80" spans="1:21" s="136" customFormat="1" ht="15.75">
      <c r="B80" s="97" t="s">
        <v>2648</v>
      </c>
      <c r="F80" s="136" t="s">
        <v>2652</v>
      </c>
      <c r="G80" s="135">
        <v>41110</v>
      </c>
      <c r="H80" s="136">
        <v>20</v>
      </c>
      <c r="I80" s="136">
        <v>7</v>
      </c>
      <c r="J80" s="136">
        <v>2012</v>
      </c>
      <c r="K80" s="97" t="s">
        <v>54</v>
      </c>
      <c r="L80" s="138" t="s">
        <v>2646</v>
      </c>
      <c r="M80" s="97" t="s">
        <v>225</v>
      </c>
      <c r="N80" s="422">
        <f t="shared" si="22"/>
        <v>1392</v>
      </c>
      <c r="O80" s="97">
        <v>14</v>
      </c>
      <c r="P80" s="340">
        <f t="shared" si="18"/>
        <v>8.2857142857142865</v>
      </c>
      <c r="Q80" s="340">
        <f t="shared" si="19"/>
        <v>174.00000000000003</v>
      </c>
      <c r="R80" s="340">
        <f t="shared" si="20"/>
        <v>1218</v>
      </c>
      <c r="S80" s="136">
        <v>17316</v>
      </c>
      <c r="U80" s="121">
        <f t="shared" si="13"/>
        <v>21</v>
      </c>
    </row>
    <row r="81" spans="2:21" s="136" customFormat="1" ht="15.75">
      <c r="B81" s="97" t="s">
        <v>2648</v>
      </c>
      <c r="F81" s="136" t="s">
        <v>2652</v>
      </c>
      <c r="G81" s="135">
        <v>41110</v>
      </c>
      <c r="H81" s="136">
        <v>20</v>
      </c>
      <c r="I81" s="136">
        <v>7</v>
      </c>
      <c r="J81" s="136">
        <v>2012</v>
      </c>
      <c r="K81" s="97" t="s">
        <v>54</v>
      </c>
      <c r="L81" s="138" t="s">
        <v>2646</v>
      </c>
      <c r="M81" s="97" t="s">
        <v>225</v>
      </c>
      <c r="N81" s="422">
        <f t="shared" si="22"/>
        <v>1392</v>
      </c>
      <c r="O81" s="97">
        <v>15</v>
      </c>
      <c r="P81" s="340">
        <f t="shared" si="18"/>
        <v>7.7333333333333334</v>
      </c>
      <c r="Q81" s="340">
        <f t="shared" si="19"/>
        <v>162.4</v>
      </c>
      <c r="R81" s="340">
        <f t="shared" si="20"/>
        <v>1229.5999999999999</v>
      </c>
      <c r="S81" s="136">
        <v>17316</v>
      </c>
      <c r="U81" s="121">
        <f t="shared" si="13"/>
        <v>21</v>
      </c>
    </row>
    <row r="82" spans="2:21" s="136" customFormat="1" ht="15.75">
      <c r="B82" s="97" t="s">
        <v>2648</v>
      </c>
      <c r="F82" s="136" t="s">
        <v>2652</v>
      </c>
      <c r="G82" s="135">
        <v>41110</v>
      </c>
      <c r="H82" s="136">
        <v>20</v>
      </c>
      <c r="I82" s="136">
        <v>7</v>
      </c>
      <c r="J82" s="136">
        <v>2012</v>
      </c>
      <c r="K82" s="97" t="s">
        <v>54</v>
      </c>
      <c r="L82" s="138" t="s">
        <v>2646</v>
      </c>
      <c r="M82" s="97" t="s">
        <v>225</v>
      </c>
      <c r="N82" s="422">
        <f t="shared" si="22"/>
        <v>1392</v>
      </c>
      <c r="O82" s="97">
        <v>16</v>
      </c>
      <c r="P82" s="340">
        <f t="shared" si="18"/>
        <v>7.25</v>
      </c>
      <c r="Q82" s="340">
        <f t="shared" si="19"/>
        <v>152.25</v>
      </c>
      <c r="R82" s="340">
        <f t="shared" si="20"/>
        <v>1239.75</v>
      </c>
      <c r="S82" s="136">
        <v>17316</v>
      </c>
      <c r="U82" s="121">
        <f t="shared" si="13"/>
        <v>21</v>
      </c>
    </row>
    <row r="83" spans="2:21" s="136" customFormat="1" ht="15.75">
      <c r="B83" s="97" t="s">
        <v>2649</v>
      </c>
      <c r="F83" s="136" t="s">
        <v>2652</v>
      </c>
      <c r="G83" s="135">
        <v>41110</v>
      </c>
      <c r="H83" s="136">
        <v>20</v>
      </c>
      <c r="I83" s="136">
        <v>7</v>
      </c>
      <c r="J83" s="136">
        <v>2012</v>
      </c>
      <c r="K83" s="97" t="s">
        <v>54</v>
      </c>
      <c r="L83" s="138" t="s">
        <v>2646</v>
      </c>
      <c r="M83" s="97" t="s">
        <v>225</v>
      </c>
      <c r="N83" s="422">
        <f>6900*1.16</f>
        <v>8003.9999999999991</v>
      </c>
      <c r="O83" s="97">
        <v>17</v>
      </c>
      <c r="P83" s="340">
        <f t="shared" si="18"/>
        <v>39.235294117647051</v>
      </c>
      <c r="Q83" s="340">
        <f t="shared" si="19"/>
        <v>823.94117647058806</v>
      </c>
      <c r="R83" s="340">
        <f t="shared" si="20"/>
        <v>7180.0588235294108</v>
      </c>
      <c r="S83" s="136">
        <v>17316</v>
      </c>
      <c r="U83" s="121">
        <f t="shared" si="13"/>
        <v>21</v>
      </c>
    </row>
    <row r="84" spans="2:21" s="136" customFormat="1" ht="15.75">
      <c r="B84" s="97" t="s">
        <v>2649</v>
      </c>
      <c r="F84" s="136" t="s">
        <v>2652</v>
      </c>
      <c r="G84" s="135">
        <v>41110</v>
      </c>
      <c r="H84" s="136">
        <v>20</v>
      </c>
      <c r="I84" s="136">
        <v>7</v>
      </c>
      <c r="J84" s="136">
        <v>2012</v>
      </c>
      <c r="K84" s="97" t="s">
        <v>54</v>
      </c>
      <c r="L84" s="138" t="s">
        <v>2646</v>
      </c>
      <c r="M84" s="97" t="s">
        <v>225</v>
      </c>
      <c r="N84" s="422">
        <f t="shared" ref="N84:N86" si="23">6900*1.16</f>
        <v>8003.9999999999991</v>
      </c>
      <c r="O84" s="97">
        <v>18</v>
      </c>
      <c r="P84" s="340">
        <f t="shared" si="18"/>
        <v>37.05555555555555</v>
      </c>
      <c r="Q84" s="340">
        <f t="shared" si="19"/>
        <v>778.16666666666652</v>
      </c>
      <c r="R84" s="340">
        <f t="shared" si="20"/>
        <v>7225.8333333333321</v>
      </c>
      <c r="S84" s="136">
        <v>17316</v>
      </c>
      <c r="U84" s="121">
        <f t="shared" si="13"/>
        <v>21</v>
      </c>
    </row>
    <row r="85" spans="2:21" s="136" customFormat="1" ht="15.75">
      <c r="B85" s="97" t="s">
        <v>2649</v>
      </c>
      <c r="F85" s="136" t="s">
        <v>2652</v>
      </c>
      <c r="G85" s="135">
        <v>41110</v>
      </c>
      <c r="H85" s="136">
        <v>20</v>
      </c>
      <c r="I85" s="136">
        <v>7</v>
      </c>
      <c r="J85" s="136">
        <v>2012</v>
      </c>
      <c r="K85" s="97" t="s">
        <v>54</v>
      </c>
      <c r="L85" s="138" t="s">
        <v>2646</v>
      </c>
      <c r="M85" s="97" t="s">
        <v>225</v>
      </c>
      <c r="N85" s="422">
        <f t="shared" si="23"/>
        <v>8003.9999999999991</v>
      </c>
      <c r="O85" s="97">
        <v>19</v>
      </c>
      <c r="P85" s="340">
        <f t="shared" si="18"/>
        <v>35.105263157894733</v>
      </c>
      <c r="Q85" s="340">
        <f t="shared" si="19"/>
        <v>737.21052631578937</v>
      </c>
      <c r="R85" s="340">
        <f t="shared" si="20"/>
        <v>7266.78947368421</v>
      </c>
      <c r="S85" s="136">
        <v>17316</v>
      </c>
      <c r="U85" s="121">
        <f t="shared" si="13"/>
        <v>21</v>
      </c>
    </row>
    <row r="86" spans="2:21" s="136" customFormat="1" ht="15.75">
      <c r="B86" s="97" t="s">
        <v>2649</v>
      </c>
      <c r="F86" s="136" t="s">
        <v>2652</v>
      </c>
      <c r="G86" s="135">
        <v>41110</v>
      </c>
      <c r="H86" s="136">
        <v>20</v>
      </c>
      <c r="I86" s="136">
        <v>7</v>
      </c>
      <c r="J86" s="136">
        <v>2012</v>
      </c>
      <c r="K86" s="97" t="s">
        <v>54</v>
      </c>
      <c r="L86" s="138" t="s">
        <v>2646</v>
      </c>
      <c r="M86" s="97" t="s">
        <v>225</v>
      </c>
      <c r="N86" s="422">
        <f t="shared" si="23"/>
        <v>8003.9999999999991</v>
      </c>
      <c r="O86" s="97">
        <v>20</v>
      </c>
      <c r="P86" s="340">
        <f t="shared" si="18"/>
        <v>33.349999999999994</v>
      </c>
      <c r="Q86" s="340">
        <f t="shared" si="19"/>
        <v>700.34999999999991</v>
      </c>
      <c r="R86" s="340">
        <f t="shared" si="20"/>
        <v>7303.65</v>
      </c>
      <c r="S86" s="136">
        <v>17316</v>
      </c>
      <c r="U86" s="121">
        <f t="shared" si="13"/>
        <v>21</v>
      </c>
    </row>
    <row r="87" spans="2:21" s="136" customFormat="1" ht="15.75">
      <c r="B87" s="97" t="s">
        <v>2650</v>
      </c>
      <c r="F87" s="136" t="s">
        <v>2652</v>
      </c>
      <c r="G87" s="135">
        <v>41110</v>
      </c>
      <c r="H87" s="136">
        <v>20</v>
      </c>
      <c r="I87" s="136">
        <v>7</v>
      </c>
      <c r="J87" s="136">
        <v>2012</v>
      </c>
      <c r="K87" s="97" t="s">
        <v>54</v>
      </c>
      <c r="L87" s="138" t="s">
        <v>2646</v>
      </c>
      <c r="M87" s="97" t="s">
        <v>225</v>
      </c>
      <c r="N87" s="422">
        <f>6100*1.16</f>
        <v>7075.9999999999991</v>
      </c>
      <c r="O87" s="97">
        <v>21</v>
      </c>
      <c r="P87" s="340">
        <f t="shared" si="18"/>
        <v>28.079365079365076</v>
      </c>
      <c r="Q87" s="340">
        <f t="shared" si="19"/>
        <v>589.66666666666663</v>
      </c>
      <c r="R87" s="340">
        <f t="shared" si="20"/>
        <v>6486.3333333333321</v>
      </c>
      <c r="S87" s="136">
        <v>17316</v>
      </c>
      <c r="U87" s="121">
        <f t="shared" si="13"/>
        <v>21</v>
      </c>
    </row>
    <row r="88" spans="2:21" s="136" customFormat="1" ht="15.75">
      <c r="B88" s="97" t="s">
        <v>2650</v>
      </c>
      <c r="F88" s="136" t="s">
        <v>2652</v>
      </c>
      <c r="G88" s="135">
        <v>41110</v>
      </c>
      <c r="H88" s="136">
        <v>20</v>
      </c>
      <c r="I88" s="136">
        <v>7</v>
      </c>
      <c r="J88" s="136">
        <v>2012</v>
      </c>
      <c r="K88" s="97" t="s">
        <v>54</v>
      </c>
      <c r="L88" s="138" t="s">
        <v>2646</v>
      </c>
      <c r="M88" s="97" t="s">
        <v>225</v>
      </c>
      <c r="N88" s="422">
        <f t="shared" ref="N88:N90" si="24">6100*1.16</f>
        <v>7075.9999999999991</v>
      </c>
      <c r="O88" s="97">
        <v>22</v>
      </c>
      <c r="P88" s="340">
        <f t="shared" si="18"/>
        <v>26.803030303030297</v>
      </c>
      <c r="Q88" s="340">
        <f t="shared" si="19"/>
        <v>562.86363636363626</v>
      </c>
      <c r="R88" s="340">
        <f t="shared" si="20"/>
        <v>6513.1363636363631</v>
      </c>
      <c r="S88" s="136">
        <v>17316</v>
      </c>
      <c r="U88" s="121">
        <f t="shared" si="13"/>
        <v>21</v>
      </c>
    </row>
    <row r="89" spans="2:21" s="136" customFormat="1" ht="15.75">
      <c r="B89" s="97" t="s">
        <v>2650</v>
      </c>
      <c r="F89" s="136" t="s">
        <v>2652</v>
      </c>
      <c r="G89" s="135">
        <v>41110</v>
      </c>
      <c r="H89" s="136">
        <v>20</v>
      </c>
      <c r="I89" s="136">
        <v>7</v>
      </c>
      <c r="J89" s="136">
        <v>2012</v>
      </c>
      <c r="K89" s="97" t="s">
        <v>54</v>
      </c>
      <c r="L89" s="138" t="s">
        <v>2646</v>
      </c>
      <c r="M89" s="97" t="s">
        <v>225</v>
      </c>
      <c r="N89" s="422">
        <f t="shared" si="24"/>
        <v>7075.9999999999991</v>
      </c>
      <c r="O89" s="97">
        <v>23</v>
      </c>
      <c r="P89" s="340">
        <f t="shared" si="18"/>
        <v>25.637681159420286</v>
      </c>
      <c r="Q89" s="340">
        <f t="shared" si="19"/>
        <v>538.39130434782601</v>
      </c>
      <c r="R89" s="340">
        <f t="shared" si="20"/>
        <v>6537.6086956521731</v>
      </c>
      <c r="S89" s="136">
        <v>17316</v>
      </c>
      <c r="U89" s="121">
        <f t="shared" si="13"/>
        <v>21</v>
      </c>
    </row>
    <row r="90" spans="2:21" s="136" customFormat="1" ht="15.75">
      <c r="B90" s="97" t="s">
        <v>2650</v>
      </c>
      <c r="F90" s="136" t="s">
        <v>2652</v>
      </c>
      <c r="G90" s="135">
        <v>41110</v>
      </c>
      <c r="H90" s="136">
        <v>20</v>
      </c>
      <c r="I90" s="136">
        <v>7</v>
      </c>
      <c r="J90" s="136">
        <v>2012</v>
      </c>
      <c r="K90" s="97" t="s">
        <v>54</v>
      </c>
      <c r="L90" s="138" t="s">
        <v>2646</v>
      </c>
      <c r="M90" s="97" t="s">
        <v>225</v>
      </c>
      <c r="N90" s="422">
        <f t="shared" si="24"/>
        <v>7075.9999999999991</v>
      </c>
      <c r="O90" s="97">
        <v>24</v>
      </c>
      <c r="P90" s="340">
        <f t="shared" si="18"/>
        <v>24.569444444444443</v>
      </c>
      <c r="Q90" s="340">
        <f t="shared" si="19"/>
        <v>515.95833333333326</v>
      </c>
      <c r="R90" s="340">
        <f t="shared" si="20"/>
        <v>6560.0416666666661</v>
      </c>
      <c r="S90" s="136">
        <v>17316</v>
      </c>
      <c r="U90" s="121">
        <f t="shared" si="13"/>
        <v>21</v>
      </c>
    </row>
    <row r="91" spans="2:21" s="136" customFormat="1" ht="15.75">
      <c r="B91" s="97"/>
      <c r="G91" s="135"/>
      <c r="K91" s="97"/>
      <c r="L91" s="138"/>
      <c r="M91" s="97"/>
      <c r="N91" s="345">
        <f>SUM(N69:N90)</f>
        <v>134502</v>
      </c>
      <c r="O91" s="96"/>
      <c r="P91" s="347">
        <f>SUM(P69:P90)</f>
        <v>1370.2895488837721</v>
      </c>
      <c r="Q91" s="347">
        <f t="shared" ref="Q91:R91" si="25">SUM(Q69:Q90)</f>
        <v>28776.080526559224</v>
      </c>
      <c r="R91" s="347">
        <f t="shared" si="25"/>
        <v>105725.91947344078</v>
      </c>
      <c r="S91" s="424"/>
      <c r="U91" s="121"/>
    </row>
    <row r="92" spans="2:21" s="136" customFormat="1" ht="15.75">
      <c r="B92" s="97"/>
      <c r="L92" s="138"/>
      <c r="N92" s="422"/>
      <c r="P92" s="340"/>
      <c r="Q92" s="340"/>
      <c r="R92" s="340"/>
      <c r="U92" s="121"/>
    </row>
    <row r="93" spans="2:21" s="341" customFormat="1" ht="16.5" thickBot="1">
      <c r="L93" s="342"/>
      <c r="N93" s="348">
        <f>+N67+N91</f>
        <v>873585.46000000008</v>
      </c>
      <c r="P93" s="348">
        <f>+P67+P91</f>
        <v>13687.513882217103</v>
      </c>
      <c r="Q93" s="348">
        <f t="shared" ref="Q93:R93" si="26">+Q67+Q91</f>
        <v>752686.50852655934</v>
      </c>
      <c r="R93" s="348">
        <f t="shared" si="26"/>
        <v>120898.95147344074</v>
      </c>
      <c r="U93" s="121"/>
    </row>
    <row r="94" spans="2:21" s="136" customFormat="1" ht="16.5" thickTop="1">
      <c r="L94" s="138"/>
    </row>
    <row r="95" spans="2:21" s="136" customFormat="1" ht="15.75">
      <c r="L95" s="138"/>
    </row>
    <row r="96" spans="2:21" s="136" customFormat="1" ht="15.75">
      <c r="L96" s="138"/>
    </row>
    <row r="97" spans="12:12" s="136" customFormat="1" ht="15.75">
      <c r="L97" s="138"/>
    </row>
    <row r="98" spans="12:12" s="4" customFormat="1" ht="15.75">
      <c r="L98" s="17"/>
    </row>
    <row r="99" spans="12:12" s="4" customFormat="1" ht="15.75">
      <c r="L99" s="17"/>
    </row>
    <row r="100" spans="12:12" s="4" customFormat="1" ht="15.75">
      <c r="L100" s="17"/>
    </row>
    <row r="101" spans="12:12" s="4" customFormat="1" ht="15.75">
      <c r="L101" s="17"/>
    </row>
    <row r="102" spans="12:12" s="4" customFormat="1" ht="15.75">
      <c r="L102" s="17"/>
    </row>
    <row r="103" spans="12:12" s="4" customFormat="1" ht="15.75">
      <c r="L103" s="17"/>
    </row>
    <row r="104" spans="12:12" s="4" customFormat="1" ht="15.75">
      <c r="L104" s="17"/>
    </row>
    <row r="105" spans="12:12" s="4" customFormat="1" ht="15.75">
      <c r="L105" s="17"/>
    </row>
    <row r="106" spans="12:12" s="4" customFormat="1" ht="15.75">
      <c r="L106" s="17"/>
    </row>
    <row r="107" spans="12:12" s="4" customFormat="1" ht="15.75">
      <c r="L107" s="17"/>
    </row>
    <row r="108" spans="12:12" s="4" customFormat="1" ht="15.75">
      <c r="L108" s="17"/>
    </row>
    <row r="109" spans="12:12" s="4" customFormat="1" ht="15.75">
      <c r="L109" s="17"/>
    </row>
    <row r="110" spans="12:12" s="4" customFormat="1" ht="15.75">
      <c r="L110" s="17"/>
    </row>
    <row r="111" spans="12:12" s="4" customFormat="1" ht="15.75">
      <c r="L111" s="17"/>
    </row>
    <row r="112" spans="12:12" s="4" customFormat="1" ht="15.75">
      <c r="L112" s="17"/>
    </row>
    <row r="113" spans="12:12" s="4" customFormat="1" ht="15.75">
      <c r="L113" s="17"/>
    </row>
    <row r="114" spans="12:12" s="4" customFormat="1" ht="15.75">
      <c r="L114" s="17"/>
    </row>
    <row r="115" spans="12:12" s="4" customFormat="1" ht="15.75">
      <c r="L115" s="17"/>
    </row>
    <row r="116" spans="12:12" s="4" customFormat="1" ht="15.75">
      <c r="L116" s="17"/>
    </row>
    <row r="117" spans="12:12" s="4" customFormat="1" ht="15.75">
      <c r="L117" s="17"/>
    </row>
    <row r="118" spans="12:12" s="4" customFormat="1" ht="15.75">
      <c r="L118" s="17"/>
    </row>
    <row r="119" spans="12:12" s="4" customFormat="1" ht="15.75">
      <c r="L119" s="17"/>
    </row>
    <row r="120" spans="12:12" s="4" customFormat="1" ht="15.75">
      <c r="L120" s="17"/>
    </row>
    <row r="121" spans="12:12" s="4" customFormat="1" ht="15.75">
      <c r="L121" s="17"/>
    </row>
    <row r="122" spans="12:12" s="4" customFormat="1" ht="15.75">
      <c r="L122" s="17"/>
    </row>
    <row r="123" spans="12:12" s="4" customFormat="1" ht="15.75">
      <c r="L123" s="17"/>
    </row>
    <row r="124" spans="12:12" s="4" customFormat="1" ht="15.75">
      <c r="L124" s="17"/>
    </row>
    <row r="125" spans="12:12" s="4" customFormat="1" ht="15.75">
      <c r="L125" s="17"/>
    </row>
    <row r="126" spans="12:12" s="4" customFormat="1" ht="15.75">
      <c r="L126" s="17"/>
    </row>
    <row r="127" spans="12:12" s="4" customFormat="1" ht="15.75">
      <c r="L127" s="17"/>
    </row>
    <row r="128" spans="12:12" s="4" customFormat="1" ht="15.75">
      <c r="L128" s="17"/>
    </row>
    <row r="129" spans="12:12" s="4" customFormat="1" ht="15.75">
      <c r="L129" s="17"/>
    </row>
    <row r="130" spans="12:12" s="4" customFormat="1" ht="15.75">
      <c r="L130" s="17"/>
    </row>
    <row r="131" spans="12:12" s="4" customFormat="1" ht="15.75">
      <c r="L131" s="17"/>
    </row>
    <row r="132" spans="12:12" s="4" customFormat="1" ht="15.75">
      <c r="L132" s="17"/>
    </row>
    <row r="133" spans="12:12" s="4" customFormat="1" ht="15.75">
      <c r="L133" s="17"/>
    </row>
    <row r="134" spans="12:12" s="4" customFormat="1" ht="15.75">
      <c r="L134" s="17"/>
    </row>
    <row r="135" spans="12:12" s="4" customFormat="1" ht="15.75">
      <c r="L135" s="17"/>
    </row>
    <row r="136" spans="12:12" s="4" customFormat="1" ht="15.75">
      <c r="L136" s="17"/>
    </row>
    <row r="137" spans="12:12" s="4" customFormat="1" ht="15.75">
      <c r="L137" s="17"/>
    </row>
    <row r="138" spans="12:12" s="4" customFormat="1" ht="15.75">
      <c r="L138" s="17"/>
    </row>
    <row r="139" spans="12:12" s="4" customFormat="1" ht="15.75">
      <c r="L139" s="17"/>
    </row>
    <row r="140" spans="12:12" s="4" customFormat="1" ht="15.75">
      <c r="L140" s="17"/>
    </row>
    <row r="141" spans="12:12" s="4" customFormat="1" ht="15.75">
      <c r="L141" s="17"/>
    </row>
    <row r="142" spans="12:12" s="4" customFormat="1" ht="15.75">
      <c r="L142" s="17"/>
    </row>
    <row r="143" spans="12:12" s="4" customFormat="1" ht="15.75">
      <c r="L143" s="17"/>
    </row>
    <row r="144" spans="12:12" s="4" customFormat="1" ht="15.75">
      <c r="L144" s="17"/>
    </row>
    <row r="145" spans="12:12" s="4" customFormat="1" ht="15.75">
      <c r="L145" s="17"/>
    </row>
    <row r="146" spans="12:12" s="4" customFormat="1" ht="15.75">
      <c r="L146" s="17"/>
    </row>
    <row r="147" spans="12:12" s="4" customFormat="1" ht="15.75">
      <c r="L147" s="17"/>
    </row>
    <row r="148" spans="12:12" s="4" customFormat="1" ht="15.75">
      <c r="L148" s="17"/>
    </row>
    <row r="149" spans="12:12" s="4" customFormat="1" ht="15.75">
      <c r="L149" s="17"/>
    </row>
    <row r="150" spans="12:12" s="4" customFormat="1" ht="15.75">
      <c r="L150" s="17"/>
    </row>
    <row r="151" spans="12:12" s="4" customFormat="1" ht="15.75">
      <c r="L151" s="17"/>
    </row>
    <row r="152" spans="12:12" s="4" customFormat="1" ht="15.75">
      <c r="L152" s="17"/>
    </row>
    <row r="153" spans="12:12" s="4" customFormat="1" ht="15.75">
      <c r="L153" s="17"/>
    </row>
    <row r="154" spans="12:12" s="4" customFormat="1" ht="15.75">
      <c r="L154" s="17"/>
    </row>
    <row r="155" spans="12:12" s="4" customFormat="1" ht="15.75">
      <c r="L155" s="17"/>
    </row>
    <row r="156" spans="12:12" s="4" customFormat="1" ht="15.75">
      <c r="L156" s="17"/>
    </row>
    <row r="157" spans="12:12" s="4" customFormat="1" ht="15.75">
      <c r="L157" s="17"/>
    </row>
  </sheetData>
  <mergeCells count="5">
    <mergeCell ref="A2:S2"/>
    <mergeCell ref="A3:S3"/>
    <mergeCell ref="A4:S4"/>
    <mergeCell ref="H6:J6"/>
    <mergeCell ref="P6:Q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fitToHeight="8" orientation="landscape" r:id="rId1"/>
  <headerFooter>
    <oddFooter>Página &amp;P&amp;R&amp;A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3" tint="-0.249977111117893"/>
  </sheetPr>
  <dimension ref="A1:T84"/>
  <sheetViews>
    <sheetView showGridLines="0" topLeftCell="F58" zoomScaleNormal="100" workbookViewId="0">
      <selection activeCell="O84" sqref="O84"/>
    </sheetView>
  </sheetViews>
  <sheetFormatPr baseColWidth="10" defaultRowHeight="12.75"/>
  <cols>
    <col min="1" max="1" width="7.28515625" style="3" customWidth="1"/>
    <col min="2" max="2" width="39.7109375" style="3" customWidth="1"/>
    <col min="3" max="3" width="11.7109375" style="337" customWidth="1"/>
    <col min="4" max="4" width="14.42578125" style="337" customWidth="1"/>
    <col min="5" max="6" width="20.7109375" style="3" customWidth="1"/>
    <col min="7" max="8" width="5" style="3" customWidth="1"/>
    <col min="9" max="9" width="8.5703125" style="3" customWidth="1"/>
    <col min="10" max="10" width="7.42578125" style="3" customWidth="1"/>
    <col min="11" max="11" width="6.140625" style="3" customWidth="1"/>
    <col min="12" max="12" width="7.5703125" style="3" customWidth="1"/>
    <col min="13" max="14" width="13.42578125" style="3" customWidth="1"/>
    <col min="15" max="15" width="14.7109375" style="370" customWidth="1"/>
    <col min="16" max="16" width="15.140625" style="371" customWidth="1"/>
    <col min="17" max="17" width="15.85546875" style="3" bestFit="1" customWidth="1"/>
    <col min="18" max="18" width="11.5703125" style="3" customWidth="1"/>
    <col min="19" max="16384" width="11.42578125" style="3"/>
  </cols>
  <sheetData>
    <row r="1" spans="1:20" s="349" customFormat="1" ht="18.75">
      <c r="A1" s="536" t="s">
        <v>0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</row>
    <row r="2" spans="1:20" s="4" customFormat="1" ht="15.75">
      <c r="A2" s="538" t="s">
        <v>219</v>
      </c>
      <c r="B2" s="538"/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</row>
    <row r="3" spans="1:20">
      <c r="A3" s="533" t="str">
        <f>'Equipos de Producción'!A3:S3</f>
        <v>(Al 30 de Abril del 2014)</v>
      </c>
      <c r="B3" s="533"/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3"/>
      <c r="O3" s="533"/>
      <c r="P3" s="533"/>
      <c r="Q3" s="533"/>
      <c r="R3" s="384"/>
      <c r="S3" s="384"/>
    </row>
    <row r="4" spans="1:20" s="93" customFormat="1" ht="15.75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5"/>
    </row>
    <row r="5" spans="1:20" s="350" customFormat="1">
      <c r="C5" s="329"/>
      <c r="D5" s="329"/>
      <c r="O5" s="351"/>
      <c r="P5" s="352"/>
      <c r="T5" s="180">
        <f>'Equipos Médicos'!U5</f>
        <v>41759</v>
      </c>
    </row>
    <row r="6" spans="1:20" ht="15.75">
      <c r="A6" s="353"/>
      <c r="O6" s="534" t="s">
        <v>3</v>
      </c>
      <c r="P6" s="535"/>
      <c r="T6" s="110"/>
    </row>
    <row r="7" spans="1:20" s="357" customFormat="1" ht="38.25">
      <c r="A7" s="354" t="s">
        <v>218</v>
      </c>
      <c r="B7" s="354" t="s">
        <v>217</v>
      </c>
      <c r="C7" s="355" t="s">
        <v>6</v>
      </c>
      <c r="D7" s="355" t="s">
        <v>7</v>
      </c>
      <c r="E7" s="356" t="s">
        <v>9</v>
      </c>
      <c r="F7" s="356" t="s">
        <v>2525</v>
      </c>
      <c r="G7" s="354" t="s">
        <v>11</v>
      </c>
      <c r="H7" s="354" t="s">
        <v>12</v>
      </c>
      <c r="I7" s="354" t="s">
        <v>13</v>
      </c>
      <c r="J7" s="354" t="s">
        <v>216</v>
      </c>
      <c r="K7" s="354" t="s">
        <v>215</v>
      </c>
      <c r="L7" s="354" t="s">
        <v>214</v>
      </c>
      <c r="M7" s="354" t="s">
        <v>17</v>
      </c>
      <c r="N7" s="354" t="s">
        <v>213</v>
      </c>
      <c r="O7" s="10" t="s">
        <v>21</v>
      </c>
      <c r="P7" s="92" t="s">
        <v>2524</v>
      </c>
      <c r="Q7" s="12" t="s">
        <v>23</v>
      </c>
      <c r="T7" s="173" t="s">
        <v>867</v>
      </c>
    </row>
    <row r="8" spans="1:20" s="330" customFormat="1" ht="15.75">
      <c r="B8" s="330" t="s">
        <v>212</v>
      </c>
      <c r="C8" s="332"/>
      <c r="D8" s="332"/>
      <c r="E8" s="330" t="s">
        <v>185</v>
      </c>
      <c r="F8" s="220" t="str">
        <f t="shared" ref="F8:F25" si="0">CONCATENATE(G8,"/",H8,"/",I8,)</f>
        <v>31/3/2008</v>
      </c>
      <c r="G8" s="330">
        <v>31</v>
      </c>
      <c r="H8" s="330">
        <v>3</v>
      </c>
      <c r="I8" s="330">
        <v>2008</v>
      </c>
      <c r="J8" s="330" t="s">
        <v>184</v>
      </c>
      <c r="K8" s="330">
        <v>4445</v>
      </c>
      <c r="L8" s="330" t="s">
        <v>179</v>
      </c>
      <c r="M8" s="333">
        <v>466519.06</v>
      </c>
      <c r="N8" s="330">
        <v>10</v>
      </c>
      <c r="O8" s="316">
        <f>(((M8)-1)/10)/12</f>
        <v>3887.6504999999997</v>
      </c>
      <c r="P8" s="358">
        <f t="shared" ref="P8:P25" si="1">O8*T8</f>
        <v>233259.02999999997</v>
      </c>
      <c r="Q8" s="334">
        <f>M8-P8</f>
        <v>233260.03000000003</v>
      </c>
      <c r="R8" s="90">
        <f t="shared" ref="R8:R25" si="2">((2011-I8)*12)+(12-H8)+1</f>
        <v>46</v>
      </c>
      <c r="T8" s="121">
        <f t="shared" ref="T8:T25" si="3">IF((DATEDIF(F8,T$5,"m"))&gt;=60,60,(DATEDIF(F8,T$5,"m")))</f>
        <v>60</v>
      </c>
    </row>
    <row r="9" spans="1:20" s="330" customFormat="1" ht="15.75">
      <c r="B9" s="330" t="s">
        <v>211</v>
      </c>
      <c r="C9" s="332"/>
      <c r="D9" s="332" t="s">
        <v>210</v>
      </c>
      <c r="E9" s="330" t="s">
        <v>185</v>
      </c>
      <c r="F9" s="220" t="str">
        <f t="shared" si="0"/>
        <v>31/3/2008</v>
      </c>
      <c r="G9" s="330">
        <v>31</v>
      </c>
      <c r="H9" s="330">
        <v>3</v>
      </c>
      <c r="I9" s="330">
        <v>2008</v>
      </c>
      <c r="J9" s="330" t="s">
        <v>184</v>
      </c>
      <c r="K9" s="330">
        <v>4448</v>
      </c>
      <c r="L9" s="330" t="s">
        <v>179</v>
      </c>
      <c r="M9" s="333">
        <f>50071.12*1.16</f>
        <v>58082.499199999998</v>
      </c>
      <c r="N9" s="330">
        <v>10</v>
      </c>
      <c r="O9" s="316">
        <f>(((M9)-1)/10)/12</f>
        <v>484.01249333333334</v>
      </c>
      <c r="P9" s="358">
        <f t="shared" si="1"/>
        <v>29040.749599999999</v>
      </c>
      <c r="Q9" s="334">
        <f>M9-P9</f>
        <v>29041.749599999999</v>
      </c>
      <c r="R9" s="90">
        <f t="shared" si="2"/>
        <v>46</v>
      </c>
      <c r="T9" s="121">
        <f t="shared" si="3"/>
        <v>60</v>
      </c>
    </row>
    <row r="10" spans="1:20" s="330" customFormat="1" ht="15.75">
      <c r="B10" s="330" t="s">
        <v>203</v>
      </c>
      <c r="C10" s="332"/>
      <c r="D10" s="332" t="s">
        <v>209</v>
      </c>
      <c r="E10" s="330" t="s">
        <v>185</v>
      </c>
      <c r="F10" s="220" t="str">
        <f t="shared" si="0"/>
        <v>31/3/2008</v>
      </c>
      <c r="G10" s="330">
        <v>31</v>
      </c>
      <c r="H10" s="330">
        <v>3</v>
      </c>
      <c r="I10" s="330">
        <v>2008</v>
      </c>
      <c r="J10" s="330" t="s">
        <v>184</v>
      </c>
      <c r="K10" s="330">
        <v>4448</v>
      </c>
      <c r="L10" s="330" t="s">
        <v>179</v>
      </c>
      <c r="M10" s="333">
        <f>24165.34*1.16</f>
        <v>28031.794399999999</v>
      </c>
      <c r="N10" s="330">
        <v>10</v>
      </c>
      <c r="O10" s="316">
        <f t="shared" ref="O10:O25" si="4">(((M10)-1)/10)/12</f>
        <v>233.58995333333334</v>
      </c>
      <c r="P10" s="358">
        <f t="shared" si="1"/>
        <v>14015.397200000001</v>
      </c>
      <c r="Q10" s="334">
        <f t="shared" ref="Q10:Q24" si="5">M10-P10</f>
        <v>14016.397199999998</v>
      </c>
      <c r="R10" s="90">
        <f t="shared" si="2"/>
        <v>46</v>
      </c>
      <c r="T10" s="121">
        <f t="shared" si="3"/>
        <v>60</v>
      </c>
    </row>
    <row r="11" spans="1:20" s="330" customFormat="1" ht="15.75">
      <c r="B11" s="330" t="s">
        <v>208</v>
      </c>
      <c r="C11" s="332"/>
      <c r="D11" s="332" t="s">
        <v>207</v>
      </c>
      <c r="E11" s="330" t="s">
        <v>185</v>
      </c>
      <c r="F11" s="220" t="str">
        <f t="shared" si="0"/>
        <v>31/3/2008</v>
      </c>
      <c r="G11" s="330">
        <v>31</v>
      </c>
      <c r="H11" s="330">
        <v>3</v>
      </c>
      <c r="I11" s="330">
        <v>2008</v>
      </c>
      <c r="J11" s="330" t="s">
        <v>184</v>
      </c>
      <c r="K11" s="330">
        <v>4448</v>
      </c>
      <c r="L11" s="330" t="s">
        <v>179</v>
      </c>
      <c r="M11" s="333">
        <f>52547.9*1.16</f>
        <v>60955.563999999998</v>
      </c>
      <c r="N11" s="330">
        <v>10</v>
      </c>
      <c r="O11" s="316">
        <f t="shared" si="4"/>
        <v>507.9547</v>
      </c>
      <c r="P11" s="358">
        <f t="shared" si="1"/>
        <v>30477.281999999999</v>
      </c>
      <c r="Q11" s="334">
        <f t="shared" si="5"/>
        <v>30478.281999999999</v>
      </c>
      <c r="R11" s="90">
        <f t="shared" si="2"/>
        <v>46</v>
      </c>
      <c r="T11" s="121">
        <f t="shared" si="3"/>
        <v>60</v>
      </c>
    </row>
    <row r="12" spans="1:20" s="330" customFormat="1" ht="15.75">
      <c r="B12" s="330" t="s">
        <v>206</v>
      </c>
      <c r="C12" s="332"/>
      <c r="D12" s="332">
        <v>10795</v>
      </c>
      <c r="E12" s="330" t="s">
        <v>185</v>
      </c>
      <c r="F12" s="220" t="str">
        <f t="shared" si="0"/>
        <v>31/3/2008</v>
      </c>
      <c r="G12" s="330">
        <v>31</v>
      </c>
      <c r="H12" s="330">
        <v>3</v>
      </c>
      <c r="I12" s="330">
        <v>2008</v>
      </c>
      <c r="J12" s="330" t="s">
        <v>184</v>
      </c>
      <c r="K12" s="330">
        <v>4448</v>
      </c>
      <c r="L12" s="330" t="s">
        <v>179</v>
      </c>
      <c r="M12" s="333">
        <f>2175.55*1.16</f>
        <v>2523.6379999999999</v>
      </c>
      <c r="N12" s="330">
        <v>10</v>
      </c>
      <c r="O12" s="316">
        <f t="shared" si="4"/>
        <v>21.021983333333335</v>
      </c>
      <c r="P12" s="358">
        <f t="shared" si="1"/>
        <v>1261.3190000000002</v>
      </c>
      <c r="Q12" s="334">
        <f t="shared" si="5"/>
        <v>1262.3189999999997</v>
      </c>
      <c r="R12" s="90">
        <f t="shared" si="2"/>
        <v>46</v>
      </c>
      <c r="T12" s="121">
        <f t="shared" si="3"/>
        <v>60</v>
      </c>
    </row>
    <row r="13" spans="1:20" s="330" customFormat="1" ht="15.75">
      <c r="B13" s="330" t="s">
        <v>205</v>
      </c>
      <c r="C13" s="332"/>
      <c r="D13" s="332">
        <v>10796</v>
      </c>
      <c r="E13" s="330" t="s">
        <v>185</v>
      </c>
      <c r="F13" s="220" t="str">
        <f t="shared" si="0"/>
        <v>31/3/2008</v>
      </c>
      <c r="G13" s="330">
        <v>31</v>
      </c>
      <c r="H13" s="330">
        <v>3</v>
      </c>
      <c r="I13" s="330">
        <v>2008</v>
      </c>
      <c r="J13" s="330" t="s">
        <v>184</v>
      </c>
      <c r="K13" s="330">
        <v>4448</v>
      </c>
      <c r="L13" s="330" t="s">
        <v>179</v>
      </c>
      <c r="M13" s="333">
        <f>12216.55*1.16</f>
        <v>14171.197999999999</v>
      </c>
      <c r="N13" s="330">
        <v>10</v>
      </c>
      <c r="O13" s="316">
        <f t="shared" si="4"/>
        <v>118.08498333333331</v>
      </c>
      <c r="P13" s="358">
        <f t="shared" si="1"/>
        <v>7085.0989999999983</v>
      </c>
      <c r="Q13" s="334">
        <f t="shared" si="5"/>
        <v>7086.0990000000002</v>
      </c>
      <c r="R13" s="90">
        <f t="shared" si="2"/>
        <v>46</v>
      </c>
      <c r="T13" s="121">
        <f t="shared" si="3"/>
        <v>60</v>
      </c>
    </row>
    <row r="14" spans="1:20" s="330" customFormat="1" ht="15.75">
      <c r="B14" s="330" t="s">
        <v>204</v>
      </c>
      <c r="C14" s="332"/>
      <c r="D14" s="332">
        <v>10797</v>
      </c>
      <c r="E14" s="330" t="s">
        <v>185</v>
      </c>
      <c r="F14" s="220" t="str">
        <f t="shared" si="0"/>
        <v>31/3/2008</v>
      </c>
      <c r="G14" s="330">
        <v>31</v>
      </c>
      <c r="H14" s="330">
        <v>3</v>
      </c>
      <c r="I14" s="330">
        <v>2008</v>
      </c>
      <c r="J14" s="330" t="s">
        <v>184</v>
      </c>
      <c r="K14" s="330">
        <v>4448</v>
      </c>
      <c r="L14" s="330" t="s">
        <v>179</v>
      </c>
      <c r="M14" s="333">
        <f>1773.91*1.16</f>
        <v>2057.7356</v>
      </c>
      <c r="N14" s="330">
        <v>10</v>
      </c>
      <c r="O14" s="316">
        <f t="shared" si="4"/>
        <v>17.139463333333335</v>
      </c>
      <c r="P14" s="358">
        <f t="shared" si="1"/>
        <v>1028.3678000000002</v>
      </c>
      <c r="Q14" s="334">
        <f t="shared" si="5"/>
        <v>1029.3677999999998</v>
      </c>
      <c r="R14" s="90">
        <f t="shared" si="2"/>
        <v>46</v>
      </c>
      <c r="T14" s="121">
        <f t="shared" si="3"/>
        <v>60</v>
      </c>
    </row>
    <row r="15" spans="1:20" s="330" customFormat="1" ht="15.75">
      <c r="B15" s="330" t="s">
        <v>203</v>
      </c>
      <c r="C15" s="332"/>
      <c r="D15" s="332" t="s">
        <v>202</v>
      </c>
      <c r="E15" s="330" t="s">
        <v>185</v>
      </c>
      <c r="F15" s="220" t="str">
        <f t="shared" si="0"/>
        <v>31/3/2008</v>
      </c>
      <c r="G15" s="330">
        <v>31</v>
      </c>
      <c r="H15" s="330">
        <v>3</v>
      </c>
      <c r="I15" s="330">
        <v>2008</v>
      </c>
      <c r="J15" s="330" t="s">
        <v>184</v>
      </c>
      <c r="K15" s="330">
        <v>4448</v>
      </c>
      <c r="L15" s="330" t="s">
        <v>179</v>
      </c>
      <c r="M15" s="333">
        <f>4886.62*1.16</f>
        <v>5668.4791999999998</v>
      </c>
      <c r="N15" s="330">
        <v>10</v>
      </c>
      <c r="O15" s="316">
        <f t="shared" si="4"/>
        <v>47.228993333333335</v>
      </c>
      <c r="P15" s="358">
        <f t="shared" si="1"/>
        <v>2833.7395999999999</v>
      </c>
      <c r="Q15" s="334">
        <f t="shared" si="5"/>
        <v>2834.7395999999999</v>
      </c>
      <c r="R15" s="90">
        <f t="shared" si="2"/>
        <v>46</v>
      </c>
      <c r="T15" s="121">
        <f t="shared" si="3"/>
        <v>60</v>
      </c>
    </row>
    <row r="16" spans="1:20" s="330" customFormat="1" ht="15.75">
      <c r="B16" s="330" t="s">
        <v>201</v>
      </c>
      <c r="C16" s="332"/>
      <c r="D16" s="332" t="s">
        <v>200</v>
      </c>
      <c r="E16" s="330" t="s">
        <v>185</v>
      </c>
      <c r="F16" s="220" t="str">
        <f t="shared" si="0"/>
        <v>31/3/2008</v>
      </c>
      <c r="G16" s="330">
        <v>31</v>
      </c>
      <c r="H16" s="330">
        <v>3</v>
      </c>
      <c r="I16" s="330">
        <v>2008</v>
      </c>
      <c r="J16" s="330" t="s">
        <v>184</v>
      </c>
      <c r="K16" s="330">
        <v>4448</v>
      </c>
      <c r="L16" s="330" t="s">
        <v>179</v>
      </c>
      <c r="M16" s="333">
        <f>1271.86*1.16</f>
        <v>1475.3575999999998</v>
      </c>
      <c r="N16" s="330">
        <v>10</v>
      </c>
      <c r="O16" s="316">
        <f t="shared" si="4"/>
        <v>12.286313333333332</v>
      </c>
      <c r="P16" s="358">
        <f t="shared" si="1"/>
        <v>737.17879999999991</v>
      </c>
      <c r="Q16" s="334">
        <f t="shared" si="5"/>
        <v>738.17879999999991</v>
      </c>
      <c r="R16" s="90">
        <f t="shared" si="2"/>
        <v>46</v>
      </c>
      <c r="T16" s="121">
        <f t="shared" si="3"/>
        <v>60</v>
      </c>
    </row>
    <row r="17" spans="1:20" s="330" customFormat="1" ht="15.75">
      <c r="B17" s="330" t="s">
        <v>199</v>
      </c>
      <c r="C17" s="332"/>
      <c r="D17" s="332" t="s">
        <v>198</v>
      </c>
      <c r="E17" s="330" t="s">
        <v>185</v>
      </c>
      <c r="F17" s="220" t="str">
        <f t="shared" si="0"/>
        <v>31/3/2008</v>
      </c>
      <c r="G17" s="330">
        <v>31</v>
      </c>
      <c r="H17" s="330">
        <v>3</v>
      </c>
      <c r="I17" s="330">
        <v>2008</v>
      </c>
      <c r="J17" s="330" t="s">
        <v>184</v>
      </c>
      <c r="K17" s="330">
        <v>4448</v>
      </c>
      <c r="L17" s="330" t="s">
        <v>179</v>
      </c>
      <c r="M17" s="333">
        <f>9974.06*1.16</f>
        <v>11569.909599999999</v>
      </c>
      <c r="N17" s="330">
        <v>10</v>
      </c>
      <c r="O17" s="316">
        <f t="shared" si="4"/>
        <v>96.407579999999996</v>
      </c>
      <c r="P17" s="358">
        <f t="shared" si="1"/>
        <v>5784.4547999999995</v>
      </c>
      <c r="Q17" s="334">
        <f t="shared" si="5"/>
        <v>5785.4547999999995</v>
      </c>
      <c r="R17" s="90">
        <f t="shared" si="2"/>
        <v>46</v>
      </c>
      <c r="T17" s="121">
        <f t="shared" si="3"/>
        <v>60</v>
      </c>
    </row>
    <row r="18" spans="1:20" s="330" customFormat="1" ht="15.75">
      <c r="B18" s="330" t="s">
        <v>197</v>
      </c>
      <c r="C18" s="332"/>
      <c r="D18" s="332">
        <v>10798</v>
      </c>
      <c r="E18" s="330" t="s">
        <v>185</v>
      </c>
      <c r="F18" s="220" t="str">
        <f t="shared" si="0"/>
        <v>31/3/2008</v>
      </c>
      <c r="G18" s="330">
        <v>31</v>
      </c>
      <c r="H18" s="330">
        <v>3</v>
      </c>
      <c r="I18" s="330">
        <v>2008</v>
      </c>
      <c r="J18" s="330" t="s">
        <v>184</v>
      </c>
      <c r="K18" s="330">
        <v>4448</v>
      </c>
      <c r="L18" s="330" t="s">
        <v>179</v>
      </c>
      <c r="M18" s="333">
        <f>17170.11*1.16</f>
        <v>19917.327600000001</v>
      </c>
      <c r="N18" s="330">
        <v>10</v>
      </c>
      <c r="O18" s="316">
        <f t="shared" si="4"/>
        <v>165.96939666666665</v>
      </c>
      <c r="P18" s="358">
        <f t="shared" si="1"/>
        <v>9958.1637999999984</v>
      </c>
      <c r="Q18" s="334">
        <f t="shared" si="5"/>
        <v>9959.1638000000021</v>
      </c>
      <c r="R18" s="90">
        <f t="shared" si="2"/>
        <v>46</v>
      </c>
      <c r="T18" s="121">
        <f t="shared" si="3"/>
        <v>60</v>
      </c>
    </row>
    <row r="19" spans="1:20" s="330" customFormat="1" ht="15.75">
      <c r="B19" s="330" t="s">
        <v>196</v>
      </c>
      <c r="C19" s="332"/>
      <c r="D19" s="332" t="s">
        <v>195</v>
      </c>
      <c r="E19" s="330" t="s">
        <v>185</v>
      </c>
      <c r="F19" s="220" t="str">
        <f t="shared" si="0"/>
        <v>31/3/2008</v>
      </c>
      <c r="G19" s="330">
        <v>31</v>
      </c>
      <c r="H19" s="330">
        <v>3</v>
      </c>
      <c r="I19" s="330">
        <v>2008</v>
      </c>
      <c r="J19" s="330" t="s">
        <v>184</v>
      </c>
      <c r="K19" s="330">
        <v>4448</v>
      </c>
      <c r="L19" s="330" t="s">
        <v>179</v>
      </c>
      <c r="M19" s="333">
        <f>2008.2*1.16</f>
        <v>2329.5119999999997</v>
      </c>
      <c r="N19" s="330">
        <v>10</v>
      </c>
      <c r="O19" s="316">
        <f t="shared" si="4"/>
        <v>19.404266666666665</v>
      </c>
      <c r="P19" s="358">
        <f t="shared" si="1"/>
        <v>1164.2559999999999</v>
      </c>
      <c r="Q19" s="334">
        <f t="shared" si="5"/>
        <v>1165.2559999999999</v>
      </c>
      <c r="R19" s="90">
        <f t="shared" si="2"/>
        <v>46</v>
      </c>
      <c r="T19" s="121">
        <f t="shared" si="3"/>
        <v>60</v>
      </c>
    </row>
    <row r="20" spans="1:20" s="330" customFormat="1" ht="15.75">
      <c r="B20" s="330" t="s">
        <v>194</v>
      </c>
      <c r="C20" s="332"/>
      <c r="D20" s="332">
        <v>10799</v>
      </c>
      <c r="E20" s="330" t="s">
        <v>185</v>
      </c>
      <c r="F20" s="220" t="str">
        <f t="shared" si="0"/>
        <v>31/3/2008</v>
      </c>
      <c r="G20" s="330">
        <v>31</v>
      </c>
      <c r="H20" s="330">
        <v>3</v>
      </c>
      <c r="I20" s="330">
        <v>2008</v>
      </c>
      <c r="J20" s="330" t="s">
        <v>184</v>
      </c>
      <c r="K20" s="330">
        <v>4448</v>
      </c>
      <c r="L20" s="330" t="s">
        <v>179</v>
      </c>
      <c r="M20" s="333">
        <f>4551.92*1.16</f>
        <v>5280.2271999999994</v>
      </c>
      <c r="N20" s="330">
        <v>10</v>
      </c>
      <c r="O20" s="316">
        <f t="shared" si="4"/>
        <v>43.993559999999995</v>
      </c>
      <c r="P20" s="358">
        <f t="shared" si="1"/>
        <v>2639.6135999999997</v>
      </c>
      <c r="Q20" s="334">
        <f t="shared" si="5"/>
        <v>2640.6135999999997</v>
      </c>
      <c r="R20" s="90">
        <f t="shared" si="2"/>
        <v>46</v>
      </c>
      <c r="T20" s="121">
        <f t="shared" si="3"/>
        <v>60</v>
      </c>
    </row>
    <row r="21" spans="1:20" s="330" customFormat="1" ht="15.75">
      <c r="B21" s="330" t="s">
        <v>193</v>
      </c>
      <c r="C21" s="332"/>
      <c r="D21" s="332" t="s">
        <v>192</v>
      </c>
      <c r="E21" s="330" t="s">
        <v>185</v>
      </c>
      <c r="F21" s="220" t="str">
        <f t="shared" si="0"/>
        <v>31/3/2008</v>
      </c>
      <c r="G21" s="330">
        <v>31</v>
      </c>
      <c r="H21" s="330">
        <v>3</v>
      </c>
      <c r="I21" s="330">
        <v>2008</v>
      </c>
      <c r="J21" s="330" t="s">
        <v>184</v>
      </c>
      <c r="K21" s="330">
        <v>4448</v>
      </c>
      <c r="L21" s="330" t="s">
        <v>179</v>
      </c>
      <c r="M21" s="333">
        <f>10803.11*1.16</f>
        <v>12531.607599999999</v>
      </c>
      <c r="N21" s="330">
        <v>10</v>
      </c>
      <c r="O21" s="316">
        <f t="shared" si="4"/>
        <v>104.42172999999998</v>
      </c>
      <c r="P21" s="358">
        <f t="shared" si="1"/>
        <v>6265.3037999999988</v>
      </c>
      <c r="Q21" s="334">
        <f t="shared" si="5"/>
        <v>6266.3038000000006</v>
      </c>
      <c r="R21" s="90">
        <f t="shared" si="2"/>
        <v>46</v>
      </c>
      <c r="T21" s="121">
        <f t="shared" si="3"/>
        <v>60</v>
      </c>
    </row>
    <row r="22" spans="1:20" s="330" customFormat="1" ht="15.75">
      <c r="B22" s="330" t="s">
        <v>191</v>
      </c>
      <c r="C22" s="332"/>
      <c r="D22" s="332" t="s">
        <v>190</v>
      </c>
      <c r="E22" s="330" t="s">
        <v>185</v>
      </c>
      <c r="F22" s="220" t="str">
        <f t="shared" si="0"/>
        <v>31/3/2008</v>
      </c>
      <c r="G22" s="330">
        <v>31</v>
      </c>
      <c r="H22" s="330">
        <v>3</v>
      </c>
      <c r="I22" s="330">
        <v>2008</v>
      </c>
      <c r="J22" s="330" t="s">
        <v>184</v>
      </c>
      <c r="K22" s="330">
        <v>4448</v>
      </c>
      <c r="L22" s="330" t="s">
        <v>179</v>
      </c>
      <c r="M22" s="333">
        <f>50037.65*1.16</f>
        <v>58043.673999999999</v>
      </c>
      <c r="N22" s="330">
        <v>10</v>
      </c>
      <c r="O22" s="316">
        <f t="shared" si="4"/>
        <v>483.68894999999998</v>
      </c>
      <c r="P22" s="358">
        <f t="shared" si="1"/>
        <v>29021.337</v>
      </c>
      <c r="Q22" s="334">
        <f t="shared" si="5"/>
        <v>29022.337</v>
      </c>
      <c r="R22" s="90">
        <f t="shared" si="2"/>
        <v>46</v>
      </c>
      <c r="T22" s="121">
        <f t="shared" si="3"/>
        <v>60</v>
      </c>
    </row>
    <row r="23" spans="1:20" s="330" customFormat="1" ht="15.75">
      <c r="B23" s="330" t="s">
        <v>189</v>
      </c>
      <c r="C23" s="332"/>
      <c r="D23" s="332">
        <v>9771</v>
      </c>
      <c r="E23" s="330" t="s">
        <v>185</v>
      </c>
      <c r="F23" s="220" t="str">
        <f>CONCATENATE(G23,"/",H23,"/",I23,)</f>
        <v>31/3/2008</v>
      </c>
      <c r="G23" s="330">
        <v>31</v>
      </c>
      <c r="H23" s="330">
        <v>3</v>
      </c>
      <c r="I23" s="330">
        <v>2008</v>
      </c>
      <c r="J23" s="330" t="s">
        <v>184</v>
      </c>
      <c r="K23" s="330">
        <v>4448</v>
      </c>
      <c r="L23" s="330" t="s">
        <v>179</v>
      </c>
      <c r="M23" s="333">
        <f>33309.34*1.16</f>
        <v>38638.834399999992</v>
      </c>
      <c r="N23" s="330">
        <v>10</v>
      </c>
      <c r="O23" s="316">
        <f t="shared" si="4"/>
        <v>321.98195333333325</v>
      </c>
      <c r="P23" s="358">
        <f t="shared" si="1"/>
        <v>19318.917199999996</v>
      </c>
      <c r="Q23" s="334">
        <f t="shared" si="5"/>
        <v>19319.917199999996</v>
      </c>
      <c r="R23" s="90">
        <f t="shared" si="2"/>
        <v>46</v>
      </c>
      <c r="T23" s="121">
        <f t="shared" si="3"/>
        <v>60</v>
      </c>
    </row>
    <row r="24" spans="1:20" s="330" customFormat="1" ht="15.75">
      <c r="B24" s="330" t="s">
        <v>188</v>
      </c>
      <c r="C24" s="332" t="s">
        <v>187</v>
      </c>
      <c r="D24" s="332"/>
      <c r="E24" s="330" t="s">
        <v>185</v>
      </c>
      <c r="F24" s="220" t="str">
        <f t="shared" si="0"/>
        <v>31/3/2008</v>
      </c>
      <c r="G24" s="330">
        <v>31</v>
      </c>
      <c r="H24" s="330">
        <v>3</v>
      </c>
      <c r="I24" s="330">
        <v>2008</v>
      </c>
      <c r="J24" s="330" t="s">
        <v>184</v>
      </c>
      <c r="K24" s="330">
        <v>4448</v>
      </c>
      <c r="L24" s="330" t="s">
        <v>179</v>
      </c>
      <c r="M24" s="333">
        <f>49200.9*1.16</f>
        <v>57073.043999999994</v>
      </c>
      <c r="N24" s="330">
        <v>10</v>
      </c>
      <c r="O24" s="316">
        <f t="shared" si="4"/>
        <v>475.60036666666662</v>
      </c>
      <c r="P24" s="358">
        <f t="shared" si="1"/>
        <v>28536.021999999997</v>
      </c>
      <c r="Q24" s="334">
        <f t="shared" si="5"/>
        <v>28537.021999999997</v>
      </c>
      <c r="R24" s="90">
        <f t="shared" si="2"/>
        <v>46</v>
      </c>
      <c r="T24" s="121">
        <f t="shared" si="3"/>
        <v>60</v>
      </c>
    </row>
    <row r="25" spans="1:20" s="330" customFormat="1" ht="25.5">
      <c r="B25" s="359" t="s">
        <v>186</v>
      </c>
      <c r="C25" s="332"/>
      <c r="D25" s="332"/>
      <c r="E25" s="179" t="s">
        <v>185</v>
      </c>
      <c r="F25" s="220" t="str">
        <f t="shared" si="0"/>
        <v>31/3/2008</v>
      </c>
      <c r="G25" s="330">
        <v>31</v>
      </c>
      <c r="H25" s="330">
        <v>3</v>
      </c>
      <c r="I25" s="330">
        <v>2008</v>
      </c>
      <c r="J25" s="330" t="s">
        <v>184</v>
      </c>
      <c r="M25" s="333">
        <v>469963.51</v>
      </c>
      <c r="N25" s="330">
        <v>10</v>
      </c>
      <c r="O25" s="316">
        <f t="shared" si="4"/>
        <v>3916.3542500000003</v>
      </c>
      <c r="P25" s="358">
        <f t="shared" si="1"/>
        <v>234981.255</v>
      </c>
      <c r="Q25" s="334">
        <f>M25-P25</f>
        <v>234982.255</v>
      </c>
      <c r="R25" s="90">
        <f t="shared" si="2"/>
        <v>46</v>
      </c>
      <c r="T25" s="121">
        <f t="shared" si="3"/>
        <v>60</v>
      </c>
    </row>
    <row r="26" spans="1:20" s="362" customFormat="1" ht="15.75">
      <c r="A26" s="537" t="s">
        <v>183</v>
      </c>
      <c r="B26" s="537"/>
      <c r="C26" s="537"/>
      <c r="D26" s="537"/>
      <c r="E26" s="537"/>
      <c r="F26" s="537"/>
      <c r="G26" s="537"/>
      <c r="H26" s="537"/>
      <c r="I26" s="537"/>
      <c r="J26" s="537"/>
      <c r="K26" s="537"/>
      <c r="L26" s="537"/>
      <c r="M26" s="360">
        <f>SUM(M8:M25)</f>
        <v>1314832.9723999999</v>
      </c>
      <c r="N26" s="360"/>
      <c r="O26" s="360">
        <f>SUM(O8:O25)</f>
        <v>10956.791436666665</v>
      </c>
      <c r="P26" s="361">
        <f>SUM(P8:P25)</f>
        <v>657407.48619999993</v>
      </c>
      <c r="Q26" s="360">
        <f>SUM(Q8:Q25)</f>
        <v>657425.48619999993</v>
      </c>
      <c r="T26" s="121"/>
    </row>
    <row r="27" spans="1:20" s="179" customFormat="1" ht="15.75">
      <c r="C27" s="325"/>
      <c r="D27" s="325"/>
      <c r="M27" s="326"/>
      <c r="O27" s="363"/>
      <c r="P27" s="326"/>
      <c r="Q27" s="363"/>
      <c r="T27" s="121"/>
    </row>
    <row r="28" spans="1:20" s="179" customFormat="1" ht="15.75">
      <c r="C28" s="325"/>
      <c r="D28" s="325"/>
      <c r="O28" s="363"/>
      <c r="P28" s="326"/>
      <c r="T28" s="121"/>
    </row>
    <row r="29" spans="1:20" s="330" customFormat="1" ht="15.75">
      <c r="B29" s="330" t="s">
        <v>182</v>
      </c>
      <c r="C29" s="332"/>
      <c r="D29" s="332"/>
      <c r="E29" s="330" t="s">
        <v>181</v>
      </c>
      <c r="F29" s="220" t="str">
        <f t="shared" ref="F29" si="6">CONCATENATE(G29,"/",H29,"/",I29,)</f>
        <v>15/6/2010</v>
      </c>
      <c r="G29" s="330">
        <v>15</v>
      </c>
      <c r="H29" s="330">
        <v>6</v>
      </c>
      <c r="I29" s="330">
        <v>2010</v>
      </c>
      <c r="J29" s="330" t="s">
        <v>180</v>
      </c>
      <c r="K29" s="330">
        <v>38110</v>
      </c>
      <c r="L29" s="330" t="s">
        <v>179</v>
      </c>
      <c r="M29" s="358">
        <v>12180</v>
      </c>
      <c r="N29" s="330">
        <v>10</v>
      </c>
      <c r="O29" s="316">
        <f t="shared" ref="O29" si="7">(((M29)-1)/10)/12</f>
        <v>101.49166666666667</v>
      </c>
      <c r="P29" s="358">
        <f>O29*T29</f>
        <v>4668.6166666666668</v>
      </c>
      <c r="Q29" s="334">
        <f t="shared" ref="Q29" si="8">M29-P29</f>
        <v>7511.3833333333332</v>
      </c>
      <c r="R29" s="90">
        <f>((2011-I29)*12)+(12-H29)+1</f>
        <v>19</v>
      </c>
      <c r="T29" s="121">
        <f>IF((DATEDIF(F29,T$5,"m"))&gt;=60,60,(DATEDIF(F29,T$5,"m")))</f>
        <v>46</v>
      </c>
    </row>
    <row r="30" spans="1:20" s="364" customFormat="1" ht="15.75">
      <c r="B30" s="364" t="s">
        <v>178</v>
      </c>
      <c r="C30" s="365"/>
      <c r="D30" s="365"/>
      <c r="M30" s="366">
        <v>661552</v>
      </c>
      <c r="N30" s="364">
        <v>10</v>
      </c>
      <c r="O30" s="367">
        <v>2203.0100000000002</v>
      </c>
      <c r="P30" s="366">
        <f>634411.09+O30+O30+O30+O30</f>
        <v>643223.13</v>
      </c>
      <c r="Q30" s="367">
        <f>M30-P30</f>
        <v>18328.869999999995</v>
      </c>
      <c r="R30" s="91"/>
    </row>
    <row r="31" spans="1:20" s="330" customFormat="1" ht="15.75">
      <c r="B31" s="330" t="s">
        <v>44</v>
      </c>
      <c r="C31" s="332"/>
      <c r="D31" s="332"/>
      <c r="M31" s="335">
        <f>SUM(M29:M30)</f>
        <v>673732</v>
      </c>
      <c r="N31" s="335"/>
      <c r="O31" s="335">
        <f>SUM(O29:O30)</f>
        <v>2304.501666666667</v>
      </c>
      <c r="P31" s="335">
        <f>SUM(P29:P30)</f>
        <v>647891.7466666667</v>
      </c>
      <c r="Q31" s="335">
        <f>SUM(Q29:Q30)</f>
        <v>25840.253333333327</v>
      </c>
      <c r="R31" s="90"/>
    </row>
    <row r="32" spans="1:20" s="330" customFormat="1" ht="15.75">
      <c r="C32" s="332"/>
      <c r="D32" s="332"/>
      <c r="M32" s="336"/>
      <c r="N32" s="368"/>
      <c r="O32" s="334"/>
      <c r="P32" s="358"/>
      <c r="Q32" s="334"/>
      <c r="R32" s="90"/>
    </row>
    <row r="33" spans="2:20" s="358" customFormat="1" ht="15" thickBot="1">
      <c r="C33" s="369"/>
      <c r="D33" s="369"/>
      <c r="M33" s="418">
        <f>+M26+M31</f>
        <v>1988564.9723999999</v>
      </c>
      <c r="N33" s="418"/>
      <c r="O33" s="418">
        <f>+O26+O31</f>
        <v>13261.293103333332</v>
      </c>
      <c r="P33" s="418">
        <f>+P26+P31</f>
        <v>1305299.2328666667</v>
      </c>
      <c r="Q33" s="418">
        <f>+Q26+Q31</f>
        <v>683265.73953333322</v>
      </c>
    </row>
    <row r="34" spans="2:20" s="330" customFormat="1" ht="13.5" thickTop="1">
      <c r="C34" s="332"/>
      <c r="D34" s="332"/>
      <c r="O34" s="334"/>
      <c r="P34" s="358"/>
    </row>
    <row r="35" spans="2:20" s="330" customFormat="1">
      <c r="C35" s="332"/>
      <c r="D35" s="332"/>
      <c r="O35" s="334"/>
      <c r="P35" s="358"/>
    </row>
    <row r="36" spans="2:20" s="330" customFormat="1" ht="15.75">
      <c r="B36" s="330" t="s">
        <v>2570</v>
      </c>
      <c r="C36" s="332" t="s">
        <v>2571</v>
      </c>
      <c r="D36" s="332" t="s">
        <v>2572</v>
      </c>
      <c r="E36" s="98" t="s">
        <v>431</v>
      </c>
      <c r="F36" s="220" t="str">
        <f t="shared" ref="F36" si="9">CONCATENATE(G36,"/",H36,"/",I36,)</f>
        <v>8/5/2012</v>
      </c>
      <c r="G36" s="330">
        <v>8</v>
      </c>
      <c r="H36" s="330">
        <v>5</v>
      </c>
      <c r="I36" s="330">
        <v>2012</v>
      </c>
      <c r="J36" s="330" t="s">
        <v>184</v>
      </c>
      <c r="K36" s="330" t="s">
        <v>2574</v>
      </c>
      <c r="L36" s="330" t="s">
        <v>2573</v>
      </c>
      <c r="M36" s="333">
        <v>38117.182399999998</v>
      </c>
      <c r="N36" s="330">
        <v>10</v>
      </c>
      <c r="O36" s="316">
        <f>(((M36)-1)/10)/12</f>
        <v>317.6348533333333</v>
      </c>
      <c r="P36" s="358">
        <f t="shared" ref="P36" si="10">O36*T36</f>
        <v>7305.6016266666657</v>
      </c>
      <c r="Q36" s="334">
        <f t="shared" ref="Q36" si="11">M36-P36</f>
        <v>30811.580773333331</v>
      </c>
      <c r="R36" s="90"/>
      <c r="T36" s="121">
        <f>IF((DATEDIF(F36,T$5,"m"))&gt;=60,60,(DATEDIF(F36,T$5,"m")))</f>
        <v>23</v>
      </c>
    </row>
    <row r="37" spans="2:20" s="330" customFormat="1" ht="15.75">
      <c r="B37" s="330" t="s">
        <v>2570</v>
      </c>
      <c r="C37" s="332" t="s">
        <v>2571</v>
      </c>
      <c r="D37" s="332" t="s">
        <v>2572</v>
      </c>
      <c r="E37" s="98" t="s">
        <v>431</v>
      </c>
      <c r="F37" s="220" t="str">
        <f t="shared" ref="F37:F42" si="12">CONCATENATE(G37,"/",H37,"/",I37,)</f>
        <v>8/5/2012</v>
      </c>
      <c r="G37" s="330">
        <v>8</v>
      </c>
      <c r="H37" s="330">
        <v>5</v>
      </c>
      <c r="I37" s="330">
        <v>2012</v>
      </c>
      <c r="J37" s="330" t="s">
        <v>184</v>
      </c>
      <c r="K37" s="330" t="s">
        <v>2574</v>
      </c>
      <c r="L37" s="330" t="s">
        <v>2573</v>
      </c>
      <c r="M37" s="333">
        <v>38117.182399999998</v>
      </c>
      <c r="N37" s="330">
        <v>10</v>
      </c>
      <c r="O37" s="316">
        <f t="shared" ref="O37:O42" si="13">(((M37)-1)/10)/12</f>
        <v>317.6348533333333</v>
      </c>
      <c r="P37" s="358">
        <f t="shared" ref="P37:P42" si="14">O37*T37</f>
        <v>7305.6016266666657</v>
      </c>
      <c r="Q37" s="334">
        <f t="shared" ref="Q37:Q42" si="15">M37-P37</f>
        <v>30811.580773333331</v>
      </c>
      <c r="R37" s="90"/>
      <c r="T37" s="121">
        <f t="shared" ref="T37:T42" si="16">IF((DATEDIF(F37,T$5,"m"))&gt;=60,60,(DATEDIF(F37,T$5,"m")))</f>
        <v>23</v>
      </c>
    </row>
    <row r="38" spans="2:20" s="330" customFormat="1" ht="15.75">
      <c r="B38" s="330" t="s">
        <v>2570</v>
      </c>
      <c r="C38" s="332" t="s">
        <v>2571</v>
      </c>
      <c r="D38" s="332" t="s">
        <v>2572</v>
      </c>
      <c r="E38" s="98" t="s">
        <v>431</v>
      </c>
      <c r="F38" s="220" t="str">
        <f t="shared" si="12"/>
        <v>8/5/2012</v>
      </c>
      <c r="G38" s="330">
        <v>8</v>
      </c>
      <c r="H38" s="330">
        <v>5</v>
      </c>
      <c r="I38" s="330">
        <v>2012</v>
      </c>
      <c r="J38" s="330" t="s">
        <v>184</v>
      </c>
      <c r="K38" s="330" t="s">
        <v>2574</v>
      </c>
      <c r="L38" s="330" t="s">
        <v>2573</v>
      </c>
      <c r="M38" s="333">
        <v>38117.182399999998</v>
      </c>
      <c r="N38" s="330">
        <v>10</v>
      </c>
      <c r="O38" s="316">
        <f t="shared" si="13"/>
        <v>317.6348533333333</v>
      </c>
      <c r="P38" s="358">
        <f t="shared" si="14"/>
        <v>7305.6016266666657</v>
      </c>
      <c r="Q38" s="334">
        <f t="shared" si="15"/>
        <v>30811.580773333331</v>
      </c>
      <c r="R38" s="90"/>
      <c r="T38" s="121">
        <f t="shared" si="16"/>
        <v>23</v>
      </c>
    </row>
    <row r="39" spans="2:20" s="330" customFormat="1" ht="15.75">
      <c r="B39" s="330" t="s">
        <v>2570</v>
      </c>
      <c r="C39" s="332" t="s">
        <v>2571</v>
      </c>
      <c r="D39" s="332" t="s">
        <v>2572</v>
      </c>
      <c r="E39" s="98" t="s">
        <v>431</v>
      </c>
      <c r="F39" s="220" t="str">
        <f t="shared" si="12"/>
        <v>8/5/2012</v>
      </c>
      <c r="G39" s="330">
        <v>8</v>
      </c>
      <c r="H39" s="330">
        <v>5</v>
      </c>
      <c r="I39" s="330">
        <v>2012</v>
      </c>
      <c r="J39" s="330" t="s">
        <v>184</v>
      </c>
      <c r="K39" s="330" t="s">
        <v>2574</v>
      </c>
      <c r="L39" s="330" t="s">
        <v>2573</v>
      </c>
      <c r="M39" s="333">
        <v>38117.182399999998</v>
      </c>
      <c r="N39" s="330">
        <v>10</v>
      </c>
      <c r="O39" s="316">
        <f t="shared" si="13"/>
        <v>317.6348533333333</v>
      </c>
      <c r="P39" s="358">
        <f t="shared" si="14"/>
        <v>7305.6016266666657</v>
      </c>
      <c r="Q39" s="334">
        <f t="shared" si="15"/>
        <v>30811.580773333331</v>
      </c>
      <c r="R39" s="90"/>
      <c r="T39" s="121">
        <f t="shared" si="16"/>
        <v>23</v>
      </c>
    </row>
    <row r="40" spans="2:20" s="330" customFormat="1" ht="15.75">
      <c r="B40" s="330" t="s">
        <v>2570</v>
      </c>
      <c r="C40" s="332" t="s">
        <v>2571</v>
      </c>
      <c r="D40" s="332" t="s">
        <v>2572</v>
      </c>
      <c r="E40" s="98" t="s">
        <v>431</v>
      </c>
      <c r="F40" s="220" t="str">
        <f t="shared" si="12"/>
        <v>8/5/2012</v>
      </c>
      <c r="G40" s="330">
        <v>8</v>
      </c>
      <c r="H40" s="330">
        <v>5</v>
      </c>
      <c r="I40" s="330">
        <v>2012</v>
      </c>
      <c r="J40" s="330" t="s">
        <v>184</v>
      </c>
      <c r="K40" s="330" t="s">
        <v>2574</v>
      </c>
      <c r="L40" s="330" t="s">
        <v>2573</v>
      </c>
      <c r="M40" s="333">
        <v>38117.182399999998</v>
      </c>
      <c r="N40" s="330">
        <v>10</v>
      </c>
      <c r="O40" s="316">
        <f t="shared" si="13"/>
        <v>317.6348533333333</v>
      </c>
      <c r="P40" s="358">
        <f t="shared" si="14"/>
        <v>7305.6016266666657</v>
      </c>
      <c r="Q40" s="334">
        <f t="shared" si="15"/>
        <v>30811.580773333331</v>
      </c>
      <c r="R40" s="90"/>
      <c r="T40" s="121">
        <f t="shared" si="16"/>
        <v>23</v>
      </c>
    </row>
    <row r="41" spans="2:20" s="330" customFormat="1" ht="15.75">
      <c r="B41" s="330" t="s">
        <v>2570</v>
      </c>
      <c r="C41" s="332" t="s">
        <v>2571</v>
      </c>
      <c r="D41" s="332" t="s">
        <v>2572</v>
      </c>
      <c r="E41" s="98" t="s">
        <v>431</v>
      </c>
      <c r="F41" s="220" t="str">
        <f t="shared" si="12"/>
        <v>8/5/2012</v>
      </c>
      <c r="G41" s="330">
        <v>8</v>
      </c>
      <c r="H41" s="330">
        <v>5</v>
      </c>
      <c r="I41" s="330">
        <v>2012</v>
      </c>
      <c r="J41" s="330" t="s">
        <v>184</v>
      </c>
      <c r="K41" s="330" t="s">
        <v>2574</v>
      </c>
      <c r="L41" s="330" t="s">
        <v>2573</v>
      </c>
      <c r="M41" s="333">
        <v>38117.182399999998</v>
      </c>
      <c r="N41" s="330">
        <v>10</v>
      </c>
      <c r="O41" s="316">
        <f t="shared" si="13"/>
        <v>317.6348533333333</v>
      </c>
      <c r="P41" s="358">
        <f t="shared" si="14"/>
        <v>7305.6016266666657</v>
      </c>
      <c r="Q41" s="334">
        <f t="shared" si="15"/>
        <v>30811.580773333331</v>
      </c>
      <c r="R41" s="90"/>
      <c r="T41" s="121">
        <f t="shared" si="16"/>
        <v>23</v>
      </c>
    </row>
    <row r="42" spans="2:20" ht="15.75">
      <c r="B42" s="330" t="s">
        <v>2570</v>
      </c>
      <c r="C42" s="332" t="s">
        <v>2571</v>
      </c>
      <c r="D42" s="332" t="s">
        <v>2572</v>
      </c>
      <c r="E42" s="98" t="s">
        <v>431</v>
      </c>
      <c r="F42" s="220" t="str">
        <f t="shared" si="12"/>
        <v>8/5/2012</v>
      </c>
      <c r="G42" s="330">
        <v>8</v>
      </c>
      <c r="H42" s="330">
        <v>5</v>
      </c>
      <c r="I42" s="330">
        <v>2012</v>
      </c>
      <c r="J42" s="330" t="s">
        <v>184</v>
      </c>
      <c r="K42" s="330" t="s">
        <v>2574</v>
      </c>
      <c r="L42" s="330" t="s">
        <v>2573</v>
      </c>
      <c r="M42" s="333">
        <v>38117.182399999998</v>
      </c>
      <c r="N42" s="330">
        <v>10</v>
      </c>
      <c r="O42" s="316">
        <f t="shared" si="13"/>
        <v>317.6348533333333</v>
      </c>
      <c r="P42" s="358">
        <f t="shared" si="14"/>
        <v>7305.6016266666657</v>
      </c>
      <c r="Q42" s="334">
        <f t="shared" si="15"/>
        <v>30811.580773333331</v>
      </c>
      <c r="R42" s="90"/>
      <c r="S42" s="330"/>
      <c r="T42" s="121">
        <f t="shared" si="16"/>
        <v>23</v>
      </c>
    </row>
    <row r="43" spans="2:20" ht="15.75">
      <c r="B43" s="330" t="s">
        <v>2570</v>
      </c>
      <c r="C43" s="332" t="s">
        <v>2571</v>
      </c>
      <c r="D43" s="332" t="s">
        <v>2572</v>
      </c>
      <c r="E43" s="98" t="s">
        <v>431</v>
      </c>
      <c r="F43" s="220" t="str">
        <f t="shared" ref="F43:F47" si="17">CONCATENATE(G43,"/",H43,"/",I43,)</f>
        <v>8/5/2012</v>
      </c>
      <c r="G43" s="330">
        <v>8</v>
      </c>
      <c r="H43" s="330">
        <v>5</v>
      </c>
      <c r="I43" s="330">
        <v>2012</v>
      </c>
      <c r="J43" s="330" t="s">
        <v>184</v>
      </c>
      <c r="K43" s="330" t="s">
        <v>2574</v>
      </c>
      <c r="L43" s="330" t="s">
        <v>2573</v>
      </c>
      <c r="M43" s="333">
        <v>38117.182399999998</v>
      </c>
      <c r="N43" s="330">
        <v>10</v>
      </c>
      <c r="O43" s="316">
        <f t="shared" ref="O43:O47" si="18">(((M43)-1)/10)/12</f>
        <v>317.6348533333333</v>
      </c>
      <c r="P43" s="358">
        <f t="shared" ref="P43:P47" si="19">O43*T43</f>
        <v>7305.6016266666657</v>
      </c>
      <c r="Q43" s="334">
        <f t="shared" ref="Q43:Q47" si="20">M43-P43</f>
        <v>30811.580773333331</v>
      </c>
      <c r="R43" s="90"/>
      <c r="S43" s="330"/>
      <c r="T43" s="121">
        <f t="shared" ref="T43:T47" si="21">IF((DATEDIF(F43,T$5,"m"))&gt;=60,60,(DATEDIF(F43,T$5,"m")))</f>
        <v>23</v>
      </c>
    </row>
    <row r="44" spans="2:20" ht="15.75">
      <c r="B44" s="330" t="s">
        <v>2570</v>
      </c>
      <c r="C44" s="332" t="s">
        <v>2571</v>
      </c>
      <c r="D44" s="332" t="s">
        <v>2572</v>
      </c>
      <c r="E44" s="98" t="s">
        <v>431</v>
      </c>
      <c r="F44" s="220" t="str">
        <f t="shared" si="17"/>
        <v>8/5/2012</v>
      </c>
      <c r="G44" s="330">
        <v>8</v>
      </c>
      <c r="H44" s="330">
        <v>5</v>
      </c>
      <c r="I44" s="330">
        <v>2012</v>
      </c>
      <c r="J44" s="330" t="s">
        <v>184</v>
      </c>
      <c r="K44" s="330" t="s">
        <v>2574</v>
      </c>
      <c r="L44" s="330" t="s">
        <v>2573</v>
      </c>
      <c r="M44" s="333">
        <v>38117.182399999998</v>
      </c>
      <c r="N44" s="330">
        <v>10</v>
      </c>
      <c r="O44" s="316">
        <f t="shared" si="18"/>
        <v>317.6348533333333</v>
      </c>
      <c r="P44" s="358">
        <f t="shared" si="19"/>
        <v>7305.6016266666657</v>
      </c>
      <c r="Q44" s="334">
        <f t="shared" si="20"/>
        <v>30811.580773333331</v>
      </c>
      <c r="R44" s="90"/>
      <c r="S44" s="330"/>
      <c r="T44" s="121">
        <f t="shared" si="21"/>
        <v>23</v>
      </c>
    </row>
    <row r="45" spans="2:20" ht="15.75">
      <c r="B45" s="330" t="s">
        <v>2570</v>
      </c>
      <c r="C45" s="332" t="s">
        <v>2571</v>
      </c>
      <c r="D45" s="332" t="s">
        <v>2572</v>
      </c>
      <c r="E45" s="98" t="s">
        <v>431</v>
      </c>
      <c r="F45" s="220" t="str">
        <f t="shared" si="17"/>
        <v>8/5/2012</v>
      </c>
      <c r="G45" s="330">
        <v>8</v>
      </c>
      <c r="H45" s="330">
        <v>5</v>
      </c>
      <c r="I45" s="330">
        <v>2012</v>
      </c>
      <c r="J45" s="330" t="s">
        <v>184</v>
      </c>
      <c r="K45" s="330" t="s">
        <v>2574</v>
      </c>
      <c r="L45" s="330" t="s">
        <v>2573</v>
      </c>
      <c r="M45" s="333">
        <v>38117.182399999998</v>
      </c>
      <c r="N45" s="330">
        <v>10</v>
      </c>
      <c r="O45" s="316">
        <f t="shared" si="18"/>
        <v>317.6348533333333</v>
      </c>
      <c r="P45" s="358">
        <f t="shared" si="19"/>
        <v>7305.6016266666657</v>
      </c>
      <c r="Q45" s="334">
        <f t="shared" si="20"/>
        <v>30811.580773333331</v>
      </c>
      <c r="R45" s="90"/>
      <c r="S45" s="330"/>
      <c r="T45" s="121">
        <f t="shared" si="21"/>
        <v>23</v>
      </c>
    </row>
    <row r="46" spans="2:20" ht="15.75">
      <c r="B46" s="330" t="s">
        <v>2570</v>
      </c>
      <c r="C46" s="332" t="s">
        <v>2571</v>
      </c>
      <c r="D46" s="332" t="s">
        <v>2572</v>
      </c>
      <c r="E46" s="98" t="s">
        <v>431</v>
      </c>
      <c r="F46" s="220" t="str">
        <f t="shared" si="17"/>
        <v>8/5/2012</v>
      </c>
      <c r="G46" s="330">
        <v>8</v>
      </c>
      <c r="H46" s="330">
        <v>5</v>
      </c>
      <c r="I46" s="330">
        <v>2012</v>
      </c>
      <c r="J46" s="330" t="s">
        <v>184</v>
      </c>
      <c r="K46" s="330" t="s">
        <v>2574</v>
      </c>
      <c r="L46" s="330" t="s">
        <v>2573</v>
      </c>
      <c r="M46" s="333">
        <v>38117.182399999998</v>
      </c>
      <c r="N46" s="330">
        <v>10</v>
      </c>
      <c r="O46" s="316">
        <f t="shared" si="18"/>
        <v>317.6348533333333</v>
      </c>
      <c r="P46" s="358">
        <f t="shared" si="19"/>
        <v>7305.6016266666657</v>
      </c>
      <c r="Q46" s="334">
        <f t="shared" si="20"/>
        <v>30811.580773333331</v>
      </c>
      <c r="R46" s="90"/>
      <c r="S46" s="330"/>
      <c r="T46" s="121">
        <f t="shared" si="21"/>
        <v>23</v>
      </c>
    </row>
    <row r="47" spans="2:20" ht="15.75">
      <c r="B47" s="330" t="s">
        <v>2570</v>
      </c>
      <c r="C47" s="332" t="s">
        <v>2571</v>
      </c>
      <c r="D47" s="332" t="s">
        <v>2572</v>
      </c>
      <c r="E47" s="98" t="s">
        <v>431</v>
      </c>
      <c r="F47" s="220" t="str">
        <f t="shared" si="17"/>
        <v>8/5/2012</v>
      </c>
      <c r="G47" s="330">
        <v>8</v>
      </c>
      <c r="H47" s="330">
        <v>5</v>
      </c>
      <c r="I47" s="330">
        <v>2012</v>
      </c>
      <c r="J47" s="330" t="s">
        <v>184</v>
      </c>
      <c r="K47" s="330" t="s">
        <v>2574</v>
      </c>
      <c r="L47" s="330" t="s">
        <v>2573</v>
      </c>
      <c r="M47" s="333">
        <v>38117.182399999998</v>
      </c>
      <c r="N47" s="330">
        <v>10</v>
      </c>
      <c r="O47" s="316">
        <f t="shared" si="18"/>
        <v>317.6348533333333</v>
      </c>
      <c r="P47" s="358">
        <f t="shared" si="19"/>
        <v>7305.6016266666657</v>
      </c>
      <c r="Q47" s="334">
        <f t="shared" si="20"/>
        <v>30811.580773333331</v>
      </c>
      <c r="R47" s="90"/>
      <c r="S47" s="330"/>
      <c r="T47" s="121">
        <f t="shared" si="21"/>
        <v>23</v>
      </c>
    </row>
    <row r="48" spans="2:20">
      <c r="M48" s="335">
        <f>SUM(M36:M47)</f>
        <v>457406.18879999995</v>
      </c>
      <c r="N48" s="335"/>
      <c r="O48" s="335">
        <f>SUM(O36:O47)</f>
        <v>3811.6182400000002</v>
      </c>
      <c r="P48" s="335">
        <f>SUM(P36:P47)</f>
        <v>87667.219519999999</v>
      </c>
      <c r="Q48" s="335">
        <f>SUM(Q36:Q47)</f>
        <v>369738.9692799999</v>
      </c>
    </row>
    <row r="49" spans="2:20">
      <c r="M49" s="336"/>
      <c r="N49" s="336"/>
      <c r="O49" s="336"/>
      <c r="P49" s="336"/>
      <c r="Q49" s="336"/>
    </row>
    <row r="50" spans="2:20" ht="15.75">
      <c r="B50" s="330" t="s">
        <v>2755</v>
      </c>
      <c r="C50" s="332"/>
      <c r="D50" s="332"/>
      <c r="E50" s="98" t="s">
        <v>2759</v>
      </c>
      <c r="F50" s="220">
        <v>41569</v>
      </c>
      <c r="G50" s="330">
        <v>22</v>
      </c>
      <c r="H50" s="330">
        <v>10</v>
      </c>
      <c r="I50" s="330">
        <v>2013</v>
      </c>
      <c r="J50" s="330" t="s">
        <v>184</v>
      </c>
      <c r="K50" s="330" t="s">
        <v>2760</v>
      </c>
      <c r="L50" s="330" t="s">
        <v>2573</v>
      </c>
      <c r="M50" s="333">
        <v>6138.91358024691</v>
      </c>
      <c r="N50" s="330">
        <v>10</v>
      </c>
      <c r="O50" s="316">
        <f t="shared" ref="O50:O57" si="22">(((M50)-1)/10)/12</f>
        <v>51.149279835390921</v>
      </c>
      <c r="P50" s="358">
        <f t="shared" ref="P50:P57" si="23">O50*T50</f>
        <v>306.89567901234551</v>
      </c>
      <c r="Q50" s="334">
        <f t="shared" ref="Q50:Q57" si="24">M50-P50</f>
        <v>5832.0179012345643</v>
      </c>
      <c r="R50" s="90">
        <v>18554</v>
      </c>
      <c r="S50" s="330"/>
      <c r="T50" s="121">
        <f t="shared" ref="T50:T57" si="25">IF((DATEDIF(F50,T$5,"m"))&gt;=60,60,(DATEDIF(F50,T$5,"m")))</f>
        <v>6</v>
      </c>
    </row>
    <row r="51" spans="2:20" ht="15.75">
      <c r="B51" s="330" t="s">
        <v>2755</v>
      </c>
      <c r="C51" s="332"/>
      <c r="D51" s="332"/>
      <c r="E51" s="98" t="s">
        <v>2759</v>
      </c>
      <c r="F51" s="220">
        <v>41569</v>
      </c>
      <c r="G51" s="330">
        <v>22</v>
      </c>
      <c r="H51" s="330">
        <v>10</v>
      </c>
      <c r="I51" s="330">
        <v>2013</v>
      </c>
      <c r="J51" s="330" t="s">
        <v>184</v>
      </c>
      <c r="K51" s="330" t="s">
        <v>2760</v>
      </c>
      <c r="L51" s="330" t="s">
        <v>2573</v>
      </c>
      <c r="M51" s="333">
        <v>6138.91358024691</v>
      </c>
      <c r="N51" s="330">
        <v>10</v>
      </c>
      <c r="O51" s="316">
        <f t="shared" ref="O51:O52" si="26">(((M51)-1)/10)/12</f>
        <v>51.149279835390921</v>
      </c>
      <c r="P51" s="358">
        <f t="shared" ref="P51:P52" si="27">O51*T51</f>
        <v>306.89567901234551</v>
      </c>
      <c r="Q51" s="334">
        <f t="shared" ref="Q51:Q52" si="28">M51-P51</f>
        <v>5832.0179012345643</v>
      </c>
      <c r="R51" s="90">
        <v>18554</v>
      </c>
      <c r="S51" s="330"/>
      <c r="T51" s="121">
        <f t="shared" ref="T51:T52" si="29">IF((DATEDIF(F51,T$5,"m"))&gt;=60,60,(DATEDIF(F51,T$5,"m")))</f>
        <v>6</v>
      </c>
    </row>
    <row r="52" spans="2:20" ht="15.75">
      <c r="B52" s="330" t="s">
        <v>2756</v>
      </c>
      <c r="C52" s="332"/>
      <c r="D52" s="332"/>
      <c r="E52" s="98" t="s">
        <v>2759</v>
      </c>
      <c r="F52" s="220">
        <v>41569</v>
      </c>
      <c r="G52" s="330">
        <v>22</v>
      </c>
      <c r="H52" s="330">
        <v>10</v>
      </c>
      <c r="I52" s="330">
        <v>2013</v>
      </c>
      <c r="J52" s="330" t="s">
        <v>184</v>
      </c>
      <c r="K52" s="330" t="s">
        <v>2760</v>
      </c>
      <c r="L52" s="330" t="s">
        <v>2573</v>
      </c>
      <c r="M52" s="333">
        <v>2712.54320987654</v>
      </c>
      <c r="N52" s="330">
        <v>10</v>
      </c>
      <c r="O52" s="316">
        <f t="shared" si="26"/>
        <v>22.596193415637831</v>
      </c>
      <c r="P52" s="358">
        <f t="shared" si="27"/>
        <v>135.57716049382699</v>
      </c>
      <c r="Q52" s="334">
        <f t="shared" si="28"/>
        <v>2576.9660493827132</v>
      </c>
      <c r="R52" s="90">
        <v>18554</v>
      </c>
      <c r="S52" s="330"/>
      <c r="T52" s="121">
        <f t="shared" si="29"/>
        <v>6</v>
      </c>
    </row>
    <row r="53" spans="2:20" ht="15.75">
      <c r="B53" s="330" t="s">
        <v>2756</v>
      </c>
      <c r="C53" s="332"/>
      <c r="D53" s="332"/>
      <c r="E53" s="98" t="s">
        <v>2759</v>
      </c>
      <c r="F53" s="220">
        <v>41569</v>
      </c>
      <c r="G53" s="330">
        <v>22</v>
      </c>
      <c r="H53" s="330">
        <v>10</v>
      </c>
      <c r="I53" s="330">
        <v>2013</v>
      </c>
      <c r="J53" s="330" t="s">
        <v>184</v>
      </c>
      <c r="K53" s="330" t="s">
        <v>2760</v>
      </c>
      <c r="L53" s="330" t="s">
        <v>2573</v>
      </c>
      <c r="M53" s="333">
        <v>2712.54320987654</v>
      </c>
      <c r="N53" s="330">
        <v>10</v>
      </c>
      <c r="O53" s="316">
        <f t="shared" si="22"/>
        <v>22.596193415637831</v>
      </c>
      <c r="P53" s="358">
        <f t="shared" si="23"/>
        <v>135.57716049382699</v>
      </c>
      <c r="Q53" s="334">
        <f t="shared" si="24"/>
        <v>2576.9660493827132</v>
      </c>
      <c r="R53" s="90">
        <v>18554</v>
      </c>
      <c r="S53" s="330"/>
      <c r="T53" s="121">
        <f t="shared" si="25"/>
        <v>6</v>
      </c>
    </row>
    <row r="54" spans="2:20" ht="15.75">
      <c r="B54" s="330" t="s">
        <v>2756</v>
      </c>
      <c r="C54" s="332"/>
      <c r="D54" s="332"/>
      <c r="E54" s="98" t="s">
        <v>2759</v>
      </c>
      <c r="F54" s="220">
        <v>41569</v>
      </c>
      <c r="G54" s="330">
        <v>22</v>
      </c>
      <c r="H54" s="330">
        <v>10</v>
      </c>
      <c r="I54" s="330">
        <v>2013</v>
      </c>
      <c r="J54" s="330" t="s">
        <v>184</v>
      </c>
      <c r="K54" s="330" t="s">
        <v>2760</v>
      </c>
      <c r="L54" s="330" t="s">
        <v>2573</v>
      </c>
      <c r="M54" s="333">
        <v>2712.54320987654</v>
      </c>
      <c r="N54" s="330">
        <v>10</v>
      </c>
      <c r="O54" s="316">
        <f t="shared" si="22"/>
        <v>22.596193415637831</v>
      </c>
      <c r="P54" s="358">
        <f t="shared" si="23"/>
        <v>135.57716049382699</v>
      </c>
      <c r="Q54" s="334">
        <f t="shared" si="24"/>
        <v>2576.9660493827132</v>
      </c>
      <c r="R54" s="90">
        <v>18554</v>
      </c>
      <c r="S54" s="330"/>
      <c r="T54" s="121">
        <f t="shared" si="25"/>
        <v>6</v>
      </c>
    </row>
    <row r="55" spans="2:20" ht="15.75">
      <c r="B55" s="330" t="s">
        <v>2756</v>
      </c>
      <c r="C55" s="332"/>
      <c r="D55" s="332"/>
      <c r="E55" s="98" t="s">
        <v>2759</v>
      </c>
      <c r="F55" s="220">
        <v>41569</v>
      </c>
      <c r="G55" s="330">
        <v>22</v>
      </c>
      <c r="H55" s="330">
        <v>10</v>
      </c>
      <c r="I55" s="330">
        <v>2013</v>
      </c>
      <c r="J55" s="330" t="s">
        <v>184</v>
      </c>
      <c r="K55" s="330" t="s">
        <v>2760</v>
      </c>
      <c r="L55" s="330" t="s">
        <v>2573</v>
      </c>
      <c r="M55" s="333">
        <v>2712.54320987654</v>
      </c>
      <c r="N55" s="330">
        <v>10</v>
      </c>
      <c r="O55" s="316">
        <f t="shared" ref="O55:O56" si="30">(((M55)-1)/10)/12</f>
        <v>22.596193415637831</v>
      </c>
      <c r="P55" s="358">
        <f t="shared" ref="P55:P56" si="31">O55*T55</f>
        <v>135.57716049382699</v>
      </c>
      <c r="Q55" s="334">
        <f t="shared" ref="Q55:Q56" si="32">M55-P55</f>
        <v>2576.9660493827132</v>
      </c>
      <c r="R55" s="90">
        <v>18554</v>
      </c>
      <c r="S55" s="330"/>
      <c r="T55" s="121">
        <f t="shared" ref="T55:T56" si="33">IF((DATEDIF(F55,T$5,"m"))&gt;=60,60,(DATEDIF(F55,T$5,"m")))</f>
        <v>6</v>
      </c>
    </row>
    <row r="56" spans="2:20" ht="15.75">
      <c r="B56" s="330" t="s">
        <v>2757</v>
      </c>
      <c r="C56" s="332" t="s">
        <v>2758</v>
      </c>
      <c r="D56" s="332"/>
      <c r="E56" s="98" t="s">
        <v>2759</v>
      </c>
      <c r="F56" s="220">
        <v>41569</v>
      </c>
      <c r="G56" s="330">
        <v>22</v>
      </c>
      <c r="H56" s="330">
        <v>10</v>
      </c>
      <c r="I56" s="330">
        <v>2013</v>
      </c>
      <c r="J56" s="330" t="s">
        <v>184</v>
      </c>
      <c r="K56" s="330" t="s">
        <v>2761</v>
      </c>
      <c r="L56" s="330" t="s">
        <v>2573</v>
      </c>
      <c r="M56" s="333">
        <v>132250.85999999999</v>
      </c>
      <c r="N56" s="330">
        <v>10</v>
      </c>
      <c r="O56" s="316">
        <f t="shared" si="30"/>
        <v>1102.0821666666666</v>
      </c>
      <c r="P56" s="358">
        <f t="shared" si="31"/>
        <v>6612.4929999999995</v>
      </c>
      <c r="Q56" s="334">
        <f t="shared" si="32"/>
        <v>125638.36699999998</v>
      </c>
      <c r="R56" s="90" t="s">
        <v>2762</v>
      </c>
      <c r="S56" s="330"/>
      <c r="T56" s="121">
        <f t="shared" si="33"/>
        <v>6</v>
      </c>
    </row>
    <row r="57" spans="2:20" ht="15.75">
      <c r="B57" s="330" t="s">
        <v>2757</v>
      </c>
      <c r="C57" s="332" t="s">
        <v>2758</v>
      </c>
      <c r="D57" s="332"/>
      <c r="E57" s="98" t="s">
        <v>2759</v>
      </c>
      <c r="F57" s="220">
        <v>41569</v>
      </c>
      <c r="G57" s="330">
        <v>22</v>
      </c>
      <c r="H57" s="330">
        <v>10</v>
      </c>
      <c r="I57" s="330">
        <v>2013</v>
      </c>
      <c r="J57" s="330" t="s">
        <v>184</v>
      </c>
      <c r="K57" s="330" t="s">
        <v>2761</v>
      </c>
      <c r="L57" s="330" t="s">
        <v>2573</v>
      </c>
      <c r="M57" s="333">
        <v>132250.85999999999</v>
      </c>
      <c r="N57" s="330">
        <v>10</v>
      </c>
      <c r="O57" s="316">
        <f t="shared" si="22"/>
        <v>1102.0821666666666</v>
      </c>
      <c r="P57" s="358">
        <f t="shared" si="23"/>
        <v>6612.4929999999995</v>
      </c>
      <c r="Q57" s="334">
        <f t="shared" si="24"/>
        <v>125638.36699999998</v>
      </c>
      <c r="R57" s="90" t="s">
        <v>2762</v>
      </c>
      <c r="S57" s="330"/>
      <c r="T57" s="121">
        <f t="shared" si="25"/>
        <v>6</v>
      </c>
    </row>
    <row r="58" spans="2:20">
      <c r="M58" s="335">
        <f>SUM(M50:M57)</f>
        <v>287629.71999999997</v>
      </c>
      <c r="N58" s="335"/>
      <c r="O58" s="335">
        <f>SUM(O50:O57)</f>
        <v>2396.8476666666666</v>
      </c>
      <c r="P58" s="335">
        <f>SUM(P50:P57)</f>
        <v>14381.085999999999</v>
      </c>
      <c r="Q58" s="335">
        <f>SUM(Q50:Q57)</f>
        <v>273248.63399999996</v>
      </c>
    </row>
    <row r="59" spans="2:20">
      <c r="M59" s="336"/>
      <c r="N59" s="336"/>
      <c r="O59" s="336"/>
      <c r="P59" s="336"/>
      <c r="Q59" s="336"/>
    </row>
    <row r="61" spans="2:20" ht="15.75">
      <c r="B61" s="330" t="s">
        <v>2783</v>
      </c>
      <c r="C61" s="332" t="s">
        <v>2786</v>
      </c>
      <c r="D61" s="332" t="s">
        <v>2787</v>
      </c>
      <c r="E61" s="98" t="s">
        <v>356</v>
      </c>
      <c r="F61" s="220">
        <v>41606</v>
      </c>
      <c r="G61" s="330">
        <v>28</v>
      </c>
      <c r="H61" s="330">
        <v>11</v>
      </c>
      <c r="I61" s="330">
        <v>2013</v>
      </c>
      <c r="J61" s="330" t="s">
        <v>184</v>
      </c>
      <c r="K61" s="330" t="s">
        <v>2789</v>
      </c>
      <c r="L61" s="330" t="s">
        <v>2573</v>
      </c>
      <c r="M61" s="333">
        <v>16541.3</v>
      </c>
      <c r="N61" s="330">
        <v>10</v>
      </c>
      <c r="O61" s="316">
        <f t="shared" ref="O61:O69" si="34">(((M61)-1)/10)/12</f>
        <v>137.83583333333334</v>
      </c>
      <c r="P61" s="358">
        <f t="shared" ref="P61:P69" si="35">O61*T61</f>
        <v>689.17916666666667</v>
      </c>
      <c r="Q61" s="334">
        <f t="shared" ref="Q61:Q69" si="36">M61-P61</f>
        <v>15852.120833333332</v>
      </c>
      <c r="R61" s="90">
        <v>18701</v>
      </c>
      <c r="S61" s="330"/>
      <c r="T61" s="121">
        <f t="shared" ref="T61:T69" si="37">IF((DATEDIF(F61,T$5,"m"))&gt;=60,60,(DATEDIF(F61,T$5,"m")))</f>
        <v>5</v>
      </c>
    </row>
    <row r="62" spans="2:20" ht="15.75">
      <c r="B62" s="330" t="s">
        <v>2784</v>
      </c>
      <c r="C62" s="332" t="s">
        <v>2786</v>
      </c>
      <c r="D62" s="332" t="s">
        <v>2787</v>
      </c>
      <c r="E62" s="98" t="s">
        <v>356</v>
      </c>
      <c r="F62" s="220">
        <v>41606</v>
      </c>
      <c r="G62" s="330">
        <v>28</v>
      </c>
      <c r="H62" s="330">
        <v>11</v>
      </c>
      <c r="I62" s="330">
        <v>2013</v>
      </c>
      <c r="J62" s="330" t="s">
        <v>184</v>
      </c>
      <c r="K62" s="330" t="s">
        <v>2789</v>
      </c>
      <c r="L62" s="330" t="s">
        <v>2573</v>
      </c>
      <c r="M62" s="333">
        <v>13175.42</v>
      </c>
      <c r="N62" s="330">
        <v>10</v>
      </c>
      <c r="O62" s="316">
        <f t="shared" si="34"/>
        <v>109.78683333333333</v>
      </c>
      <c r="P62" s="358">
        <f t="shared" si="35"/>
        <v>548.93416666666667</v>
      </c>
      <c r="Q62" s="334">
        <f t="shared" si="36"/>
        <v>12626.485833333334</v>
      </c>
      <c r="R62" s="90">
        <v>18701</v>
      </c>
      <c r="S62" s="330"/>
      <c r="T62" s="121">
        <f t="shared" si="37"/>
        <v>5</v>
      </c>
    </row>
    <row r="63" spans="2:20" ht="15.75">
      <c r="B63" s="330" t="s">
        <v>2785</v>
      </c>
      <c r="C63" s="332" t="s">
        <v>2786</v>
      </c>
      <c r="D63" s="332" t="s">
        <v>2788</v>
      </c>
      <c r="E63" s="98" t="s">
        <v>356</v>
      </c>
      <c r="F63" s="220">
        <v>41606</v>
      </c>
      <c r="G63" s="330">
        <v>28</v>
      </c>
      <c r="H63" s="330">
        <v>11</v>
      </c>
      <c r="I63" s="330">
        <v>2013</v>
      </c>
      <c r="J63" s="330" t="s">
        <v>184</v>
      </c>
      <c r="K63" s="330" t="s">
        <v>2789</v>
      </c>
      <c r="L63" s="330" t="s">
        <v>2573</v>
      </c>
      <c r="M63" s="333">
        <v>7544.8515570954396</v>
      </c>
      <c r="N63" s="330">
        <v>10</v>
      </c>
      <c r="O63" s="316">
        <f t="shared" si="34"/>
        <v>62.865429642461997</v>
      </c>
      <c r="P63" s="358">
        <f t="shared" si="35"/>
        <v>314.32714821230996</v>
      </c>
      <c r="Q63" s="334">
        <f t="shared" si="36"/>
        <v>7230.5244088831296</v>
      </c>
      <c r="R63" s="90">
        <v>18701</v>
      </c>
      <c r="S63" s="330"/>
      <c r="T63" s="121">
        <f t="shared" si="37"/>
        <v>5</v>
      </c>
    </row>
    <row r="64" spans="2:20" ht="15.75">
      <c r="B64" s="330" t="s">
        <v>2785</v>
      </c>
      <c r="C64" s="332" t="s">
        <v>2786</v>
      </c>
      <c r="D64" s="332" t="s">
        <v>2788</v>
      </c>
      <c r="E64" s="98" t="s">
        <v>356</v>
      </c>
      <c r="F64" s="220">
        <v>41606</v>
      </c>
      <c r="G64" s="330">
        <v>28</v>
      </c>
      <c r="H64" s="330">
        <v>11</v>
      </c>
      <c r="I64" s="330">
        <v>2013</v>
      </c>
      <c r="J64" s="330" t="s">
        <v>184</v>
      </c>
      <c r="K64" s="330" t="s">
        <v>2789</v>
      </c>
      <c r="L64" s="330" t="s">
        <v>2573</v>
      </c>
      <c r="M64" s="333">
        <v>7544.8515570954396</v>
      </c>
      <c r="N64" s="330">
        <v>10</v>
      </c>
      <c r="O64" s="316">
        <f t="shared" si="34"/>
        <v>62.865429642461997</v>
      </c>
      <c r="P64" s="358">
        <f t="shared" si="35"/>
        <v>314.32714821230996</v>
      </c>
      <c r="Q64" s="334">
        <f t="shared" si="36"/>
        <v>7230.5244088831296</v>
      </c>
      <c r="R64" s="90">
        <v>18701</v>
      </c>
      <c r="S64" s="330"/>
      <c r="T64" s="121">
        <f t="shared" si="37"/>
        <v>5</v>
      </c>
    </row>
    <row r="65" spans="1:20" ht="15.75">
      <c r="B65" s="330" t="s">
        <v>2785</v>
      </c>
      <c r="C65" s="332" t="s">
        <v>2786</v>
      </c>
      <c r="D65" s="332" t="s">
        <v>2788</v>
      </c>
      <c r="E65" s="98" t="s">
        <v>356</v>
      </c>
      <c r="F65" s="220">
        <v>41606</v>
      </c>
      <c r="G65" s="330">
        <v>28</v>
      </c>
      <c r="H65" s="330">
        <v>11</v>
      </c>
      <c r="I65" s="330">
        <v>2013</v>
      </c>
      <c r="J65" s="330" t="s">
        <v>184</v>
      </c>
      <c r="K65" s="330" t="s">
        <v>2789</v>
      </c>
      <c r="L65" s="330" t="s">
        <v>2573</v>
      </c>
      <c r="M65" s="333">
        <v>7544.8515570954396</v>
      </c>
      <c r="N65" s="330">
        <v>10</v>
      </c>
      <c r="O65" s="316">
        <f t="shared" si="34"/>
        <v>62.865429642461997</v>
      </c>
      <c r="P65" s="358">
        <f t="shared" si="35"/>
        <v>314.32714821230996</v>
      </c>
      <c r="Q65" s="334">
        <f t="shared" si="36"/>
        <v>7230.5244088831296</v>
      </c>
      <c r="R65" s="90">
        <v>18701</v>
      </c>
      <c r="S65" s="330"/>
      <c r="T65" s="121">
        <f t="shared" si="37"/>
        <v>5</v>
      </c>
    </row>
    <row r="66" spans="1:20" ht="15.75">
      <c r="B66" s="330" t="s">
        <v>2785</v>
      </c>
      <c r="C66" s="332" t="s">
        <v>2786</v>
      </c>
      <c r="D66" s="332" t="s">
        <v>2788</v>
      </c>
      <c r="E66" s="98" t="s">
        <v>356</v>
      </c>
      <c r="F66" s="220">
        <v>41606</v>
      </c>
      <c r="G66" s="330">
        <v>28</v>
      </c>
      <c r="H66" s="330">
        <v>11</v>
      </c>
      <c r="I66" s="330">
        <v>2013</v>
      </c>
      <c r="J66" s="330" t="s">
        <v>184</v>
      </c>
      <c r="K66" s="330" t="s">
        <v>2789</v>
      </c>
      <c r="L66" s="330" t="s">
        <v>2573</v>
      </c>
      <c r="M66" s="333">
        <v>7544.8515570954396</v>
      </c>
      <c r="N66" s="330">
        <v>10</v>
      </c>
      <c r="O66" s="316">
        <f t="shared" si="34"/>
        <v>62.865429642461997</v>
      </c>
      <c r="P66" s="358">
        <f t="shared" si="35"/>
        <v>314.32714821230996</v>
      </c>
      <c r="Q66" s="334">
        <f t="shared" si="36"/>
        <v>7230.5244088831296</v>
      </c>
      <c r="R66" s="90">
        <v>18701</v>
      </c>
      <c r="S66" s="330"/>
      <c r="T66" s="121">
        <f t="shared" si="37"/>
        <v>5</v>
      </c>
    </row>
    <row r="67" spans="1:20" ht="15.75">
      <c r="B67" s="330" t="s">
        <v>2785</v>
      </c>
      <c r="C67" s="332" t="s">
        <v>2786</v>
      </c>
      <c r="D67" s="332" t="s">
        <v>2788</v>
      </c>
      <c r="E67" s="98" t="s">
        <v>356</v>
      </c>
      <c r="F67" s="220">
        <v>41606</v>
      </c>
      <c r="G67" s="330">
        <v>28</v>
      </c>
      <c r="H67" s="330">
        <v>11</v>
      </c>
      <c r="I67" s="330">
        <v>2013</v>
      </c>
      <c r="J67" s="330" t="s">
        <v>184</v>
      </c>
      <c r="K67" s="330" t="s">
        <v>2789</v>
      </c>
      <c r="L67" s="330" t="s">
        <v>2573</v>
      </c>
      <c r="M67" s="333">
        <v>7544.8515570954396</v>
      </c>
      <c r="N67" s="330">
        <v>10</v>
      </c>
      <c r="O67" s="316">
        <f t="shared" si="34"/>
        <v>62.865429642461997</v>
      </c>
      <c r="P67" s="358">
        <f t="shared" si="35"/>
        <v>314.32714821230996</v>
      </c>
      <c r="Q67" s="334">
        <f t="shared" si="36"/>
        <v>7230.5244088831296</v>
      </c>
      <c r="R67" s="90">
        <v>18701</v>
      </c>
      <c r="S67" s="330"/>
      <c r="T67" s="121">
        <f t="shared" si="37"/>
        <v>5</v>
      </c>
    </row>
    <row r="68" spans="1:20" ht="15.75">
      <c r="B68" s="330" t="s">
        <v>2785</v>
      </c>
      <c r="C68" s="332" t="s">
        <v>2786</v>
      </c>
      <c r="D68" s="332" t="s">
        <v>2788</v>
      </c>
      <c r="E68" s="98" t="s">
        <v>356</v>
      </c>
      <c r="F68" s="220">
        <v>41606</v>
      </c>
      <c r="G68" s="330">
        <v>28</v>
      </c>
      <c r="H68" s="330">
        <v>11</v>
      </c>
      <c r="I68" s="330">
        <v>2013</v>
      </c>
      <c r="J68" s="330" t="s">
        <v>184</v>
      </c>
      <c r="K68" s="330" t="s">
        <v>2789</v>
      </c>
      <c r="L68" s="330" t="s">
        <v>2573</v>
      </c>
      <c r="M68" s="333">
        <v>7544.8515570954396</v>
      </c>
      <c r="N68" s="330">
        <v>10</v>
      </c>
      <c r="O68" s="316">
        <f t="shared" ref="O68" si="38">(((M68)-1)/10)/12</f>
        <v>62.865429642461997</v>
      </c>
      <c r="P68" s="358">
        <f t="shared" ref="P68" si="39">O68*T68</f>
        <v>314.32714821230996</v>
      </c>
      <c r="Q68" s="334">
        <f t="shared" ref="Q68" si="40">M68-P68</f>
        <v>7230.5244088831296</v>
      </c>
      <c r="R68" s="90">
        <v>18701</v>
      </c>
      <c r="S68" s="330"/>
      <c r="T68" s="121">
        <f t="shared" ref="T68" si="41">IF((DATEDIF(F68,T$5,"m"))&gt;=60,60,(DATEDIF(F68,T$5,"m")))</f>
        <v>5</v>
      </c>
    </row>
    <row r="69" spans="1:20" ht="15.75">
      <c r="B69" s="330" t="s">
        <v>2785</v>
      </c>
      <c r="C69" s="332" t="s">
        <v>2786</v>
      </c>
      <c r="D69" s="332" t="s">
        <v>2788</v>
      </c>
      <c r="E69" s="98" t="s">
        <v>356</v>
      </c>
      <c r="F69" s="220">
        <v>41606</v>
      </c>
      <c r="G69" s="330">
        <v>28</v>
      </c>
      <c r="H69" s="330">
        <v>11</v>
      </c>
      <c r="I69" s="330">
        <v>2013</v>
      </c>
      <c r="J69" s="330" t="s">
        <v>184</v>
      </c>
      <c r="K69" s="330" t="s">
        <v>2789</v>
      </c>
      <c r="L69" s="330" t="s">
        <v>2573</v>
      </c>
      <c r="M69" s="333">
        <v>7544.8515570954396</v>
      </c>
      <c r="N69" s="330">
        <v>10</v>
      </c>
      <c r="O69" s="316">
        <f t="shared" si="34"/>
        <v>62.865429642461997</v>
      </c>
      <c r="P69" s="358">
        <f t="shared" si="35"/>
        <v>314.32714821230996</v>
      </c>
      <c r="Q69" s="334">
        <f t="shared" si="36"/>
        <v>7230.5244088831296</v>
      </c>
      <c r="R69" s="90">
        <v>18701</v>
      </c>
      <c r="S69" s="330"/>
      <c r="T69" s="121">
        <f t="shared" si="37"/>
        <v>5</v>
      </c>
    </row>
    <row r="70" spans="1:20">
      <c r="M70" s="335">
        <f>SUM(M61:M69)</f>
        <v>82530.680899668063</v>
      </c>
      <c r="N70" s="335"/>
      <c r="O70" s="335">
        <f>SUM(O61:O69)</f>
        <v>687.68067416390068</v>
      </c>
      <c r="P70" s="335">
        <f>SUM(P61:P69)</f>
        <v>3438.4033708195034</v>
      </c>
      <c r="Q70" s="335">
        <f>SUM(Q61:Q69)</f>
        <v>79092.277528848572</v>
      </c>
    </row>
    <row r="71" spans="1:20">
      <c r="A71" s="537" t="s">
        <v>2817</v>
      </c>
      <c r="B71" s="537"/>
      <c r="C71" s="537"/>
      <c r="D71" s="537"/>
      <c r="E71" s="537"/>
      <c r="F71" s="537"/>
      <c r="G71" s="537"/>
      <c r="H71" s="537"/>
      <c r="I71" s="537"/>
      <c r="J71" s="537"/>
      <c r="K71" s="537"/>
      <c r="L71" s="537"/>
      <c r="M71" s="371">
        <f>+M58+M70</f>
        <v>370160.40089966805</v>
      </c>
    </row>
    <row r="74" spans="1:20" ht="15.75">
      <c r="A74" s="3" t="s">
        <v>2816</v>
      </c>
      <c r="B74" s="330" t="s">
        <v>2811</v>
      </c>
      <c r="C74" s="332" t="s">
        <v>2812</v>
      </c>
      <c r="D74" s="332" t="s">
        <v>2813</v>
      </c>
      <c r="E74" s="98" t="s">
        <v>2814</v>
      </c>
      <c r="F74" s="220">
        <v>41703</v>
      </c>
      <c r="G74" s="330">
        <v>5</v>
      </c>
      <c r="H74" s="330">
        <v>3</v>
      </c>
      <c r="I74" s="330">
        <v>2014</v>
      </c>
      <c r="J74" s="330" t="s">
        <v>184</v>
      </c>
      <c r="K74" s="330" t="s">
        <v>2815</v>
      </c>
      <c r="L74" s="330" t="s">
        <v>2573</v>
      </c>
      <c r="M74" s="333">
        <v>77880</v>
      </c>
      <c r="N74" s="330">
        <v>10</v>
      </c>
      <c r="O74" s="316">
        <f t="shared" ref="O74" si="42">(((M74)-1)/10)/12</f>
        <v>648.99166666666667</v>
      </c>
      <c r="P74" s="358">
        <f t="shared" ref="P74" si="43">O74*T74</f>
        <v>648.99166666666667</v>
      </c>
      <c r="Q74" s="334">
        <f t="shared" ref="Q74" si="44">M74-P74</f>
        <v>77231.008333333331</v>
      </c>
      <c r="R74" s="90"/>
      <c r="S74" s="330"/>
      <c r="T74" s="121">
        <f t="shared" ref="T74" si="45">IF((DATEDIF(F74,T$5,"m"))&gt;=60,60,(DATEDIF(F74,T$5,"m")))</f>
        <v>1</v>
      </c>
    </row>
    <row r="75" spans="1:20">
      <c r="M75" s="335">
        <f>SUM(M74)</f>
        <v>77880</v>
      </c>
      <c r="N75" s="335"/>
      <c r="O75" s="335">
        <f>SUM(O74)</f>
        <v>648.99166666666667</v>
      </c>
      <c r="P75" s="335">
        <f t="shared" ref="P75:Q75" si="46">SUM(P74)</f>
        <v>648.99166666666667</v>
      </c>
      <c r="Q75" s="335">
        <f t="shared" si="46"/>
        <v>77231.008333333331</v>
      </c>
    </row>
    <row r="76" spans="1:20">
      <c r="M76" s="336"/>
      <c r="N76" s="336"/>
      <c r="O76" s="336"/>
      <c r="P76" s="336"/>
      <c r="Q76" s="336"/>
    </row>
    <row r="77" spans="1:20" ht="15.75">
      <c r="B77" s="330" t="s">
        <v>2785</v>
      </c>
      <c r="C77" s="332" t="s">
        <v>2786</v>
      </c>
      <c r="D77" s="332" t="s">
        <v>2829</v>
      </c>
      <c r="E77" s="98" t="s">
        <v>356</v>
      </c>
      <c r="F77" s="220">
        <v>41758</v>
      </c>
      <c r="G77" s="330">
        <v>29</v>
      </c>
      <c r="H77" s="330">
        <v>4</v>
      </c>
      <c r="I77" s="330">
        <v>20114</v>
      </c>
      <c r="J77" s="330" t="s">
        <v>184</v>
      </c>
      <c r="K77" s="330" t="s">
        <v>2828</v>
      </c>
      <c r="L77" s="330" t="s">
        <v>2573</v>
      </c>
      <c r="M77" s="333">
        <v>7713.54</v>
      </c>
      <c r="N77" s="330">
        <v>10</v>
      </c>
      <c r="O77" s="316">
        <f t="shared" ref="O77:O78" si="47">(((M77)-1)/10)/12</f>
        <v>64.271166666666673</v>
      </c>
      <c r="P77" s="358">
        <f t="shared" ref="P77:P78" si="48">O77*T77</f>
        <v>0</v>
      </c>
      <c r="Q77" s="334">
        <f t="shared" ref="Q77:Q78" si="49">M77-P77</f>
        <v>7713.54</v>
      </c>
      <c r="R77" s="90">
        <v>18701</v>
      </c>
      <c r="S77" s="330"/>
      <c r="T77" s="121">
        <f t="shared" ref="T77:T78" si="50">IF((DATEDIF(F77,T$5,"m"))&gt;=60,60,(DATEDIF(F77,T$5,"m")))</f>
        <v>0</v>
      </c>
    </row>
    <row r="78" spans="1:20" ht="15.75">
      <c r="B78" s="330" t="s">
        <v>2785</v>
      </c>
      <c r="C78" s="332" t="s">
        <v>2786</v>
      </c>
      <c r="D78" s="332" t="s">
        <v>2829</v>
      </c>
      <c r="E78" s="98" t="s">
        <v>356</v>
      </c>
      <c r="F78" s="220">
        <v>41758</v>
      </c>
      <c r="G78" s="330">
        <v>29</v>
      </c>
      <c r="H78" s="330">
        <v>4</v>
      </c>
      <c r="I78" s="330">
        <v>20114</v>
      </c>
      <c r="J78" s="330" t="s">
        <v>184</v>
      </c>
      <c r="K78" s="330" t="s">
        <v>2828</v>
      </c>
      <c r="L78" s="330" t="s">
        <v>2573</v>
      </c>
      <c r="M78" s="333">
        <v>7713.54</v>
      </c>
      <c r="N78" s="330">
        <v>10</v>
      </c>
      <c r="O78" s="316">
        <f t="shared" si="47"/>
        <v>64.271166666666673</v>
      </c>
      <c r="P78" s="358">
        <f t="shared" si="48"/>
        <v>0</v>
      </c>
      <c r="Q78" s="334">
        <f t="shared" si="49"/>
        <v>7713.54</v>
      </c>
      <c r="R78" s="90">
        <v>18701</v>
      </c>
      <c r="S78" s="330"/>
      <c r="T78" s="121">
        <f t="shared" si="50"/>
        <v>0</v>
      </c>
    </row>
    <row r="79" spans="1:20">
      <c r="M79" s="335">
        <f>SUM(M77:M78)</f>
        <v>15427.08</v>
      </c>
      <c r="N79" s="335"/>
      <c r="O79" s="335">
        <f>SUM(O77:O78)</f>
        <v>128.54233333333335</v>
      </c>
      <c r="P79" s="335">
        <f t="shared" ref="P79:Q79" si="51">SUM(P77:P78)</f>
        <v>0</v>
      </c>
      <c r="Q79" s="335">
        <f t="shared" si="51"/>
        <v>15427.08</v>
      </c>
    </row>
    <row r="80" spans="1:20">
      <c r="M80" s="336"/>
      <c r="N80" s="336"/>
      <c r="O80" s="336"/>
      <c r="P80" s="336"/>
      <c r="Q80" s="336"/>
    </row>
    <row r="81" spans="13:17">
      <c r="M81" s="336"/>
      <c r="N81" s="336"/>
      <c r="O81" s="336"/>
      <c r="P81" s="336"/>
      <c r="Q81" s="336"/>
    </row>
    <row r="83" spans="13:17" ht="15" thickBot="1">
      <c r="M83" s="418">
        <f>+M33+M48+M58+M70+M75+M79</f>
        <v>2909438.6420996678</v>
      </c>
      <c r="N83" s="418"/>
      <c r="O83" s="418">
        <f>+O33+O48+O58+O70+O75</f>
        <v>20806.431350830568</v>
      </c>
      <c r="P83" s="418">
        <f>+P33+P48+P58+P70+P75+P79</f>
        <v>1411434.9334241529</v>
      </c>
      <c r="Q83" s="418">
        <f>+Q33+Q48+Q58+Q70+Q75+Q79</f>
        <v>1498003.7086755149</v>
      </c>
    </row>
    <row r="84" spans="13:17" ht="13.5" thickTop="1"/>
  </sheetData>
  <mergeCells count="6">
    <mergeCell ref="A1:Q1"/>
    <mergeCell ref="A71:L71"/>
    <mergeCell ref="A26:L26"/>
    <mergeCell ref="O6:P6"/>
    <mergeCell ref="A3:Q3"/>
    <mergeCell ref="A2:Q2"/>
  </mergeCells>
  <printOptions horizontalCentered="1"/>
  <pageMargins left="0.78740157480314965" right="0.78740157480314965" top="0.98425196850393704" bottom="0.82677165354330717" header="0" footer="0.39370078740157483"/>
  <pageSetup paperSize="5" scale="70" orientation="landscape" r:id="rId1"/>
  <headerFooter alignWithMargins="0">
    <oddFooter>Página &amp;P&amp;R&amp;A</oddFooter>
  </headerFooter>
  <colBreaks count="1" manualBreakCount="1">
    <brk id="1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3"/>
  </sheetPr>
  <dimension ref="A1:Y1048"/>
  <sheetViews>
    <sheetView zoomScaleNormal="100" workbookViewId="0">
      <pane xSplit="2" ySplit="6" topLeftCell="R1024" activePane="bottomRight" state="frozen"/>
      <selection sqref="A1:T2"/>
      <selection pane="topRight" sqref="A1:T2"/>
      <selection pane="bottomLeft" sqref="A1:T2"/>
      <selection pane="bottomRight" activeCell="R1048" sqref="R1048"/>
    </sheetView>
  </sheetViews>
  <sheetFormatPr baseColWidth="10" defaultRowHeight="15.75"/>
  <cols>
    <col min="1" max="1" width="9.7109375" style="185" customWidth="1"/>
    <col min="2" max="2" width="58.7109375" style="185" customWidth="1"/>
    <col min="3" max="3" width="16.7109375" style="185" customWidth="1"/>
    <col min="4" max="4" width="23" style="185" customWidth="1"/>
    <col min="5" max="5" width="26.7109375" style="185" customWidth="1"/>
    <col min="6" max="6" width="34.7109375" style="185" customWidth="1"/>
    <col min="7" max="7" width="12.7109375" style="185" customWidth="1"/>
    <col min="8" max="9" width="5.7109375" style="187" customWidth="1"/>
    <col min="10" max="10" width="7.7109375" style="186" customWidth="1"/>
    <col min="11" max="11" width="11.85546875" style="185" customWidth="1"/>
    <col min="12" max="12" width="23.5703125" style="185" customWidth="1"/>
    <col min="13" max="13" width="12.7109375" style="185" customWidth="1"/>
    <col min="14" max="14" width="21.85546875" style="184" customWidth="1"/>
    <col min="15" max="15" width="21.85546875" style="184" hidden="1" customWidth="1"/>
    <col min="16" max="16" width="13.7109375" style="182" hidden="1" customWidth="1"/>
    <col min="17" max="17" width="14" style="182" bestFit="1" customWidth="1"/>
    <col min="18" max="19" width="15.7109375" style="183" customWidth="1"/>
    <col min="20" max="20" width="17.140625" style="183" customWidth="1"/>
    <col min="21" max="21" width="12.7109375" style="182" customWidth="1"/>
    <col min="22" max="252" width="11.42578125" style="182" customWidth="1"/>
    <col min="253" max="16384" width="11.42578125" style="182"/>
  </cols>
  <sheetData>
    <row r="1" spans="1:24" s="277" customFormat="1" ht="20.25">
      <c r="A1" s="539" t="s">
        <v>0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297"/>
    </row>
    <row r="2" spans="1:24" s="277" customFormat="1" ht="20.25">
      <c r="A2" s="539" t="s">
        <v>2520</v>
      </c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39"/>
      <c r="R2" s="539"/>
      <c r="S2" s="539"/>
      <c r="T2" s="539"/>
      <c r="U2" s="297"/>
    </row>
    <row r="3" spans="1:24" s="277" customFormat="1" ht="20.25">
      <c r="A3" s="539" t="str">
        <f>'Equipos de Producción'!A3:S3</f>
        <v>(Al 30 de Abril del 2014)</v>
      </c>
      <c r="B3" s="539"/>
      <c r="C3" s="539"/>
      <c r="D3" s="539"/>
      <c r="E3" s="539"/>
      <c r="F3" s="539"/>
      <c r="G3" s="539"/>
      <c r="H3" s="539"/>
      <c r="I3" s="539"/>
      <c r="J3" s="539"/>
      <c r="K3" s="539"/>
      <c r="L3" s="539"/>
      <c r="M3" s="539"/>
      <c r="N3" s="539"/>
      <c r="O3" s="539"/>
      <c r="P3" s="539"/>
      <c r="Q3" s="539"/>
      <c r="R3" s="539"/>
      <c r="S3" s="539"/>
      <c r="T3" s="539"/>
      <c r="U3" s="297"/>
    </row>
    <row r="4" spans="1:24">
      <c r="A4" s="276"/>
      <c r="B4" s="276"/>
      <c r="C4" s="276"/>
      <c r="D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5"/>
      <c r="S4" s="275"/>
      <c r="T4" s="275"/>
      <c r="X4" s="180">
        <f>'Equipos de Producción'!U4</f>
        <v>41759</v>
      </c>
    </row>
    <row r="5" spans="1:24">
      <c r="H5" s="542" t="s">
        <v>57</v>
      </c>
      <c r="I5" s="543"/>
      <c r="J5" s="544"/>
      <c r="N5" s="183"/>
      <c r="O5" s="183"/>
      <c r="R5" s="540" t="s">
        <v>3</v>
      </c>
      <c r="S5" s="541"/>
      <c r="T5" s="180"/>
      <c r="X5" s="274"/>
    </row>
    <row r="6" spans="1:24" s="265" customFormat="1" ht="31.5">
      <c r="A6" s="267" t="s">
        <v>4</v>
      </c>
      <c r="B6" s="267" t="s">
        <v>5</v>
      </c>
      <c r="C6" s="267" t="s">
        <v>6</v>
      </c>
      <c r="D6" s="267" t="s">
        <v>7</v>
      </c>
      <c r="E6" s="273" t="s">
        <v>8</v>
      </c>
      <c r="F6" s="273" t="s">
        <v>9</v>
      </c>
      <c r="G6" s="267" t="s">
        <v>10</v>
      </c>
      <c r="H6" s="272" t="s">
        <v>11</v>
      </c>
      <c r="I6" s="272" t="s">
        <v>12</v>
      </c>
      <c r="J6" s="271" t="s">
        <v>13</v>
      </c>
      <c r="K6" s="267" t="s">
        <v>14</v>
      </c>
      <c r="L6" s="267" t="s">
        <v>15</v>
      </c>
      <c r="M6" s="267" t="s">
        <v>16</v>
      </c>
      <c r="N6" s="270" t="s">
        <v>17</v>
      </c>
      <c r="O6" s="270" t="s">
        <v>18</v>
      </c>
      <c r="P6" s="267" t="s">
        <v>19</v>
      </c>
      <c r="Q6" s="267" t="s">
        <v>20</v>
      </c>
      <c r="R6" s="269" t="s">
        <v>21</v>
      </c>
      <c r="S6" s="268" t="s">
        <v>2524</v>
      </c>
      <c r="T6" s="268" t="s">
        <v>23</v>
      </c>
      <c r="U6" s="267" t="s">
        <v>56</v>
      </c>
      <c r="X6" s="266" t="s">
        <v>867</v>
      </c>
    </row>
    <row r="7" spans="1:24" s="221" customFormat="1">
      <c r="A7" s="226" t="s">
        <v>2519</v>
      </c>
      <c r="B7" s="226" t="s">
        <v>2517</v>
      </c>
      <c r="C7" s="226"/>
      <c r="D7" s="226" t="s">
        <v>2516</v>
      </c>
      <c r="E7" s="226"/>
      <c r="F7" s="226"/>
      <c r="G7" s="220" t="str">
        <f t="shared" ref="G7:G70" si="0">CONCATENATE(H7,"/",I7,"/",J7,)</f>
        <v>//</v>
      </c>
      <c r="H7" s="242"/>
      <c r="I7" s="242"/>
      <c r="J7" s="225"/>
      <c r="K7" s="226"/>
      <c r="L7" s="226"/>
      <c r="M7" s="226" t="s">
        <v>869</v>
      </c>
      <c r="N7" s="230">
        <v>1</v>
      </c>
      <c r="O7" s="230"/>
      <c r="Q7" s="221">
        <v>10</v>
      </c>
      <c r="R7" s="112">
        <f>(((N7)-1)/10)/12</f>
        <v>0</v>
      </c>
      <c r="S7" s="223">
        <v>0</v>
      </c>
      <c r="T7" s="223">
        <v>1</v>
      </c>
      <c r="V7" s="233"/>
      <c r="W7" s="223"/>
      <c r="X7" s="196" t="e">
        <f t="shared" ref="X7:X70" si="1">IF((DATEDIF(G7,X$4,"m"))&gt;=120,120,(DATEDIF(G7,X$4,"m")))</f>
        <v>#VALUE!</v>
      </c>
    </row>
    <row r="8" spans="1:24" s="221" customFormat="1">
      <c r="A8" s="226" t="s">
        <v>2518</v>
      </c>
      <c r="B8" s="226" t="s">
        <v>2517</v>
      </c>
      <c r="C8" s="226"/>
      <c r="D8" s="226" t="s">
        <v>2516</v>
      </c>
      <c r="E8" s="226"/>
      <c r="F8" s="226"/>
      <c r="G8" s="220" t="str">
        <f t="shared" si="0"/>
        <v>//</v>
      </c>
      <c r="H8" s="242"/>
      <c r="I8" s="242"/>
      <c r="J8" s="225"/>
      <c r="K8" s="226"/>
      <c r="L8" s="226"/>
      <c r="M8" s="226" t="s">
        <v>869</v>
      </c>
      <c r="N8" s="230">
        <v>1</v>
      </c>
      <c r="O8" s="230"/>
      <c r="Q8" s="221">
        <v>10</v>
      </c>
      <c r="R8" s="112">
        <f t="shared" ref="R8:R71" si="2">(((N8)-1)/10)/12</f>
        <v>0</v>
      </c>
      <c r="S8" s="223">
        <v>0</v>
      </c>
      <c r="T8" s="223">
        <v>1</v>
      </c>
      <c r="V8" s="233"/>
      <c r="W8" s="223"/>
      <c r="X8" s="196" t="e">
        <f t="shared" si="1"/>
        <v>#VALUE!</v>
      </c>
    </row>
    <row r="9" spans="1:24" s="221" customFormat="1">
      <c r="A9" s="226" t="s">
        <v>2515</v>
      </c>
      <c r="B9" s="226" t="s">
        <v>2514</v>
      </c>
      <c r="C9" s="226"/>
      <c r="D9" s="226" t="s">
        <v>2513</v>
      </c>
      <c r="E9" s="226"/>
      <c r="F9" s="226" t="s">
        <v>1972</v>
      </c>
      <c r="G9" s="220" t="str">
        <f t="shared" si="0"/>
        <v>25/4/2003</v>
      </c>
      <c r="H9" s="242">
        <v>25</v>
      </c>
      <c r="I9" s="242">
        <v>4</v>
      </c>
      <c r="J9" s="225">
        <v>2003</v>
      </c>
      <c r="K9" s="226" t="s">
        <v>30</v>
      </c>
      <c r="L9" s="226">
        <v>28497</v>
      </c>
      <c r="M9" s="226" t="s">
        <v>869</v>
      </c>
      <c r="N9" s="168">
        <v>1</v>
      </c>
      <c r="O9" s="243" t="s">
        <v>1420</v>
      </c>
      <c r="Q9" s="221">
        <v>10</v>
      </c>
      <c r="R9" s="112">
        <f t="shared" si="2"/>
        <v>0</v>
      </c>
      <c r="S9" s="223">
        <f t="shared" ref="S9:S18" si="3">X9*R9</f>
        <v>0</v>
      </c>
      <c r="T9" s="223">
        <v>1</v>
      </c>
      <c r="U9" s="221">
        <v>1255</v>
      </c>
      <c r="V9" s="233"/>
      <c r="W9" s="223"/>
      <c r="X9" s="196">
        <f t="shared" si="1"/>
        <v>120</v>
      </c>
    </row>
    <row r="10" spans="1:24" s="221" customFormat="1">
      <c r="A10" s="226" t="s">
        <v>2512</v>
      </c>
      <c r="B10" s="226" t="s">
        <v>2511</v>
      </c>
      <c r="C10" s="226"/>
      <c r="D10" s="226" t="s">
        <v>2441</v>
      </c>
      <c r="E10" s="226"/>
      <c r="F10" s="226" t="s">
        <v>1720</v>
      </c>
      <c r="G10" s="220" t="str">
        <f t="shared" si="0"/>
        <v>20/6/2005</v>
      </c>
      <c r="H10" s="242">
        <v>20</v>
      </c>
      <c r="I10" s="242">
        <v>6</v>
      </c>
      <c r="J10" s="225">
        <v>2005</v>
      </c>
      <c r="K10" s="226" t="s">
        <v>30</v>
      </c>
      <c r="L10" s="225">
        <v>6063</v>
      </c>
      <c r="M10" s="226" t="s">
        <v>869</v>
      </c>
      <c r="N10" s="230">
        <v>6913.6</v>
      </c>
      <c r="O10" s="230" t="s">
        <v>2393</v>
      </c>
      <c r="Q10" s="221">
        <v>10</v>
      </c>
      <c r="R10" s="112">
        <f t="shared" si="2"/>
        <v>57.604999999999997</v>
      </c>
      <c r="S10" s="223">
        <f t="shared" si="3"/>
        <v>6106.13</v>
      </c>
      <c r="T10" s="223">
        <f t="shared" ref="T10:T73" si="4">N10-S10</f>
        <v>807.47000000000025</v>
      </c>
      <c r="U10" s="221">
        <v>6492</v>
      </c>
      <c r="V10" s="233"/>
      <c r="W10" s="223"/>
      <c r="X10" s="196">
        <f t="shared" si="1"/>
        <v>106</v>
      </c>
    </row>
    <row r="11" spans="1:24" s="221" customFormat="1">
      <c r="A11" s="226" t="s">
        <v>2510</v>
      </c>
      <c r="B11" s="226" t="s">
        <v>2509</v>
      </c>
      <c r="C11" s="226"/>
      <c r="D11" s="226"/>
      <c r="E11" s="226"/>
      <c r="F11" s="226" t="s">
        <v>962</v>
      </c>
      <c r="G11" s="220" t="str">
        <f t="shared" si="0"/>
        <v>13/1/2004</v>
      </c>
      <c r="H11" s="242">
        <v>13</v>
      </c>
      <c r="I11" s="242">
        <v>1</v>
      </c>
      <c r="J11" s="225">
        <v>2004</v>
      </c>
      <c r="K11" s="226" t="s">
        <v>30</v>
      </c>
      <c r="L11" s="226">
        <v>32314</v>
      </c>
      <c r="M11" s="226" t="s">
        <v>869</v>
      </c>
      <c r="N11" s="230">
        <v>3866.29</v>
      </c>
      <c r="O11" s="230" t="s">
        <v>2447</v>
      </c>
      <c r="Q11" s="221">
        <v>10</v>
      </c>
      <c r="R11" s="112">
        <f t="shared" si="2"/>
        <v>32.210749999999997</v>
      </c>
      <c r="S11" s="223">
        <f t="shared" si="3"/>
        <v>3865.2899999999995</v>
      </c>
      <c r="T11" s="223">
        <f t="shared" si="4"/>
        <v>1.0000000000004547</v>
      </c>
      <c r="U11" s="221">
        <v>2885</v>
      </c>
      <c r="V11" s="233"/>
      <c r="W11" s="223"/>
      <c r="X11" s="196">
        <f t="shared" si="1"/>
        <v>120</v>
      </c>
    </row>
    <row r="12" spans="1:24" s="221" customFormat="1">
      <c r="A12" s="226" t="s">
        <v>2508</v>
      </c>
      <c r="B12" s="226" t="s">
        <v>2504</v>
      </c>
      <c r="C12" s="226"/>
      <c r="D12" s="226"/>
      <c r="E12" s="226"/>
      <c r="F12" s="226" t="s">
        <v>1724</v>
      </c>
      <c r="G12" s="220" t="str">
        <f t="shared" si="0"/>
        <v>6/9/2006</v>
      </c>
      <c r="H12" s="242">
        <v>6</v>
      </c>
      <c r="I12" s="242">
        <v>9</v>
      </c>
      <c r="J12" s="225">
        <v>2006</v>
      </c>
      <c r="K12" s="226" t="s">
        <v>1510</v>
      </c>
      <c r="L12" s="226">
        <v>1633</v>
      </c>
      <c r="M12" s="226" t="s">
        <v>869</v>
      </c>
      <c r="N12" s="168">
        <v>50254.18</v>
      </c>
      <c r="O12" s="243" t="s">
        <v>2393</v>
      </c>
      <c r="Q12" s="221">
        <v>10</v>
      </c>
      <c r="R12" s="112">
        <f t="shared" si="2"/>
        <v>418.7765</v>
      </c>
      <c r="S12" s="223">
        <f t="shared" si="3"/>
        <v>38108.661500000002</v>
      </c>
      <c r="T12" s="223">
        <f t="shared" si="4"/>
        <v>12145.518499999998</v>
      </c>
      <c r="U12" s="249">
        <v>8656</v>
      </c>
      <c r="V12" s="233"/>
      <c r="W12" s="223"/>
      <c r="X12" s="196">
        <f t="shared" si="1"/>
        <v>91</v>
      </c>
    </row>
    <row r="13" spans="1:24" s="221" customFormat="1">
      <c r="A13" s="226" t="s">
        <v>2507</v>
      </c>
      <c r="B13" s="226" t="s">
        <v>2504</v>
      </c>
      <c r="C13" s="226"/>
      <c r="D13" s="226"/>
      <c r="E13" s="226"/>
      <c r="F13" s="226" t="s">
        <v>962</v>
      </c>
      <c r="G13" s="220" t="str">
        <f t="shared" si="0"/>
        <v>28/9/2006</v>
      </c>
      <c r="H13" s="242">
        <v>28</v>
      </c>
      <c r="I13" s="242">
        <v>9</v>
      </c>
      <c r="J13" s="225">
        <v>2006</v>
      </c>
      <c r="K13" s="226" t="s">
        <v>1645</v>
      </c>
      <c r="L13" s="226">
        <v>1643</v>
      </c>
      <c r="M13" s="226" t="s">
        <v>869</v>
      </c>
      <c r="N13" s="230">
        <v>47472</v>
      </c>
      <c r="O13" s="230" t="s">
        <v>2506</v>
      </c>
      <c r="Q13" s="221">
        <v>10</v>
      </c>
      <c r="R13" s="112">
        <f t="shared" si="2"/>
        <v>395.5916666666667</v>
      </c>
      <c r="S13" s="223">
        <f t="shared" si="3"/>
        <v>35998.841666666667</v>
      </c>
      <c r="T13" s="223">
        <f t="shared" si="4"/>
        <v>11473.158333333333</v>
      </c>
      <c r="U13" s="221">
        <v>8744</v>
      </c>
      <c r="V13" s="233"/>
      <c r="W13" s="223"/>
      <c r="X13" s="196">
        <f t="shared" si="1"/>
        <v>91</v>
      </c>
    </row>
    <row r="14" spans="1:24" s="221" customFormat="1">
      <c r="A14" s="226" t="s">
        <v>2505</v>
      </c>
      <c r="B14" s="226" t="s">
        <v>2504</v>
      </c>
      <c r="C14" s="226"/>
      <c r="D14" s="226"/>
      <c r="E14" s="226"/>
      <c r="F14" s="226" t="s">
        <v>1724</v>
      </c>
      <c r="G14" s="220" t="str">
        <f t="shared" si="0"/>
        <v>3/10/2006</v>
      </c>
      <c r="H14" s="242">
        <v>3</v>
      </c>
      <c r="I14" s="242">
        <v>10</v>
      </c>
      <c r="J14" s="225">
        <v>2006</v>
      </c>
      <c r="K14" s="226" t="s">
        <v>1645</v>
      </c>
      <c r="L14" s="226">
        <v>1568</v>
      </c>
      <c r="M14" s="226" t="s">
        <v>869</v>
      </c>
      <c r="N14" s="230">
        <v>5862.65</v>
      </c>
      <c r="O14" s="230"/>
      <c r="Q14" s="221">
        <v>10</v>
      </c>
      <c r="R14" s="112">
        <f t="shared" si="2"/>
        <v>48.84708333333333</v>
      </c>
      <c r="S14" s="223">
        <f t="shared" si="3"/>
        <v>4396.2374999999993</v>
      </c>
      <c r="T14" s="223">
        <f t="shared" si="4"/>
        <v>1466.4125000000004</v>
      </c>
      <c r="U14" s="221">
        <v>8017</v>
      </c>
      <c r="V14" s="233"/>
      <c r="W14" s="223"/>
      <c r="X14" s="196">
        <f t="shared" si="1"/>
        <v>90</v>
      </c>
    </row>
    <row r="15" spans="1:24" s="221" customFormat="1">
      <c r="A15" s="226" t="s">
        <v>2503</v>
      </c>
      <c r="B15" s="226" t="s">
        <v>2500</v>
      </c>
      <c r="C15" s="226"/>
      <c r="D15" s="226" t="s">
        <v>2476</v>
      </c>
      <c r="E15" s="226"/>
      <c r="F15" s="226" t="s">
        <v>1720</v>
      </c>
      <c r="G15" s="220" t="str">
        <f t="shared" si="0"/>
        <v>20/5/2004</v>
      </c>
      <c r="H15" s="242">
        <v>20</v>
      </c>
      <c r="I15" s="242">
        <v>5</v>
      </c>
      <c r="J15" s="225">
        <v>2004</v>
      </c>
      <c r="K15" s="226" t="s">
        <v>30</v>
      </c>
      <c r="L15" s="226">
        <v>5615</v>
      </c>
      <c r="M15" s="226" t="s">
        <v>869</v>
      </c>
      <c r="N15" s="230">
        <v>3506.25</v>
      </c>
      <c r="O15" s="230" t="s">
        <v>2158</v>
      </c>
      <c r="Q15" s="221">
        <v>10</v>
      </c>
      <c r="R15" s="112">
        <f t="shared" si="2"/>
        <v>29.210416666666664</v>
      </c>
      <c r="S15" s="223">
        <f t="shared" si="3"/>
        <v>3476.0395833333328</v>
      </c>
      <c r="T15" s="223">
        <f t="shared" si="4"/>
        <v>30.210416666667243</v>
      </c>
      <c r="U15" s="221">
        <v>3890</v>
      </c>
      <c r="V15" s="233"/>
      <c r="W15" s="223"/>
      <c r="X15" s="196">
        <f t="shared" si="1"/>
        <v>119</v>
      </c>
    </row>
    <row r="16" spans="1:24" s="221" customFormat="1">
      <c r="A16" s="226" t="s">
        <v>2502</v>
      </c>
      <c r="B16" s="226" t="s">
        <v>2500</v>
      </c>
      <c r="C16" s="226"/>
      <c r="D16" s="226" t="s">
        <v>2476</v>
      </c>
      <c r="E16" s="226"/>
      <c r="F16" s="226" t="s">
        <v>1720</v>
      </c>
      <c r="G16" s="220" t="str">
        <f t="shared" si="0"/>
        <v>20/5/2004</v>
      </c>
      <c r="H16" s="242">
        <v>20</v>
      </c>
      <c r="I16" s="242">
        <v>5</v>
      </c>
      <c r="J16" s="225">
        <v>2004</v>
      </c>
      <c r="K16" s="226" t="s">
        <v>30</v>
      </c>
      <c r="L16" s="226">
        <v>5615</v>
      </c>
      <c r="M16" s="226" t="s">
        <v>869</v>
      </c>
      <c r="N16" s="230">
        <v>3506.25</v>
      </c>
      <c r="O16" s="230" t="s">
        <v>1860</v>
      </c>
      <c r="Q16" s="221">
        <v>10</v>
      </c>
      <c r="R16" s="112">
        <f t="shared" si="2"/>
        <v>29.210416666666664</v>
      </c>
      <c r="S16" s="223">
        <f t="shared" si="3"/>
        <v>3476.0395833333328</v>
      </c>
      <c r="T16" s="223">
        <f t="shared" si="4"/>
        <v>30.210416666667243</v>
      </c>
      <c r="U16" s="221">
        <v>3890</v>
      </c>
      <c r="V16" s="233"/>
      <c r="W16" s="223"/>
      <c r="X16" s="196">
        <f t="shared" si="1"/>
        <v>119</v>
      </c>
    </row>
    <row r="17" spans="1:24" s="221" customFormat="1">
      <c r="A17" s="226" t="s">
        <v>2501</v>
      </c>
      <c r="B17" s="226" t="s">
        <v>2500</v>
      </c>
      <c r="C17" s="226"/>
      <c r="D17" s="226" t="s">
        <v>2476</v>
      </c>
      <c r="E17" s="226"/>
      <c r="F17" s="226" t="s">
        <v>1720</v>
      </c>
      <c r="G17" s="220" t="str">
        <f t="shared" si="0"/>
        <v>20/5/2004</v>
      </c>
      <c r="H17" s="242">
        <v>20</v>
      </c>
      <c r="I17" s="242">
        <v>5</v>
      </c>
      <c r="J17" s="225">
        <v>2004</v>
      </c>
      <c r="K17" s="226" t="s">
        <v>30</v>
      </c>
      <c r="L17" s="226">
        <v>5615</v>
      </c>
      <c r="M17" s="226" t="s">
        <v>869</v>
      </c>
      <c r="N17" s="230">
        <v>3506.25</v>
      </c>
      <c r="O17" s="230" t="s">
        <v>1930</v>
      </c>
      <c r="Q17" s="221">
        <v>10</v>
      </c>
      <c r="R17" s="112">
        <f t="shared" si="2"/>
        <v>29.210416666666664</v>
      </c>
      <c r="S17" s="223">
        <f t="shared" si="3"/>
        <v>3476.0395833333328</v>
      </c>
      <c r="T17" s="223">
        <f t="shared" si="4"/>
        <v>30.210416666667243</v>
      </c>
      <c r="U17" s="221">
        <v>3890</v>
      </c>
      <c r="V17" s="233"/>
      <c r="W17" s="223"/>
      <c r="X17" s="196">
        <f t="shared" si="1"/>
        <v>119</v>
      </c>
    </row>
    <row r="18" spans="1:24" s="221" customFormat="1">
      <c r="A18" s="226" t="s">
        <v>2499</v>
      </c>
      <c r="B18" s="226" t="s">
        <v>2498</v>
      </c>
      <c r="C18" s="226"/>
      <c r="D18" s="226" t="s">
        <v>2476</v>
      </c>
      <c r="E18" s="226"/>
      <c r="F18" s="226" t="s">
        <v>1720</v>
      </c>
      <c r="G18" s="220" t="str">
        <f t="shared" si="0"/>
        <v>20/5/2004</v>
      </c>
      <c r="H18" s="242">
        <v>20</v>
      </c>
      <c r="I18" s="242">
        <v>5</v>
      </c>
      <c r="J18" s="225">
        <v>2004</v>
      </c>
      <c r="K18" s="226" t="s">
        <v>30</v>
      </c>
      <c r="L18" s="226">
        <v>5615</v>
      </c>
      <c r="M18" s="226" t="s">
        <v>869</v>
      </c>
      <c r="N18" s="230">
        <v>3506.25</v>
      </c>
      <c r="O18" s="230" t="s">
        <v>161</v>
      </c>
      <c r="Q18" s="221">
        <v>10</v>
      </c>
      <c r="R18" s="112">
        <f t="shared" si="2"/>
        <v>29.210416666666664</v>
      </c>
      <c r="S18" s="223">
        <f t="shared" si="3"/>
        <v>3476.0395833333328</v>
      </c>
      <c r="T18" s="223">
        <f t="shared" si="4"/>
        <v>30.210416666667243</v>
      </c>
      <c r="U18" s="221">
        <v>3890</v>
      </c>
      <c r="V18" s="233"/>
      <c r="W18" s="223"/>
      <c r="X18" s="196">
        <f t="shared" si="1"/>
        <v>119</v>
      </c>
    </row>
    <row r="19" spans="1:24" s="221" customFormat="1">
      <c r="A19" s="226" t="s">
        <v>2497</v>
      </c>
      <c r="B19" s="226" t="s">
        <v>2495</v>
      </c>
      <c r="C19" s="226"/>
      <c r="D19" s="226"/>
      <c r="E19" s="226"/>
      <c r="F19" s="226"/>
      <c r="G19" s="220" t="str">
        <f t="shared" si="0"/>
        <v>//</v>
      </c>
      <c r="H19" s="242"/>
      <c r="I19" s="242"/>
      <c r="J19" s="225"/>
      <c r="K19" s="226"/>
      <c r="L19" s="226"/>
      <c r="M19" s="226" t="s">
        <v>869</v>
      </c>
      <c r="N19" s="168">
        <v>1</v>
      </c>
      <c r="O19" s="243" t="s">
        <v>278</v>
      </c>
      <c r="Q19" s="221">
        <v>10</v>
      </c>
      <c r="R19" s="112">
        <f t="shared" si="2"/>
        <v>0</v>
      </c>
      <c r="S19" s="223">
        <v>0</v>
      </c>
      <c r="T19" s="223">
        <f t="shared" si="4"/>
        <v>1</v>
      </c>
      <c r="V19" s="233"/>
      <c r="W19" s="223"/>
      <c r="X19" s="196" t="e">
        <f t="shared" si="1"/>
        <v>#VALUE!</v>
      </c>
    </row>
    <row r="20" spans="1:24" s="221" customFormat="1">
      <c r="A20" s="226" t="s">
        <v>2496</v>
      </c>
      <c r="B20" s="226" t="s">
        <v>2495</v>
      </c>
      <c r="C20" s="226"/>
      <c r="D20" s="226"/>
      <c r="E20" s="226"/>
      <c r="F20" s="226"/>
      <c r="G20" s="220" t="str">
        <f t="shared" si="0"/>
        <v>//</v>
      </c>
      <c r="H20" s="242"/>
      <c r="I20" s="242"/>
      <c r="J20" s="225"/>
      <c r="K20" s="226"/>
      <c r="L20" s="226"/>
      <c r="M20" s="226" t="s">
        <v>869</v>
      </c>
      <c r="N20" s="168">
        <v>1</v>
      </c>
      <c r="O20" s="168"/>
      <c r="Q20" s="221">
        <v>10</v>
      </c>
      <c r="R20" s="112">
        <f t="shared" si="2"/>
        <v>0</v>
      </c>
      <c r="S20" s="223">
        <v>0</v>
      </c>
      <c r="T20" s="223">
        <f t="shared" si="4"/>
        <v>1</v>
      </c>
      <c r="V20" s="233"/>
      <c r="W20" s="223"/>
      <c r="X20" s="196" t="e">
        <f t="shared" si="1"/>
        <v>#VALUE!</v>
      </c>
    </row>
    <row r="21" spans="1:24" s="221" customFormat="1">
      <c r="A21" s="226" t="s">
        <v>1906</v>
      </c>
      <c r="B21" s="226" t="s">
        <v>2494</v>
      </c>
      <c r="C21" s="226"/>
      <c r="D21" s="226" t="s">
        <v>2441</v>
      </c>
      <c r="E21" s="248"/>
      <c r="F21" s="248" t="s">
        <v>2493</v>
      </c>
      <c r="G21" s="220" t="str">
        <f t="shared" si="0"/>
        <v>14/6/2004</v>
      </c>
      <c r="H21" s="251">
        <v>14</v>
      </c>
      <c r="I21" s="251">
        <v>6</v>
      </c>
      <c r="J21" s="250">
        <v>2004</v>
      </c>
      <c r="K21" s="248" t="s">
        <v>30</v>
      </c>
      <c r="L21" s="250">
        <v>18154</v>
      </c>
      <c r="M21" s="226" t="s">
        <v>869</v>
      </c>
      <c r="N21" s="230">
        <v>3220</v>
      </c>
      <c r="O21" s="230" t="s">
        <v>161</v>
      </c>
      <c r="Q21" s="221">
        <v>10</v>
      </c>
      <c r="R21" s="112">
        <f t="shared" si="2"/>
        <v>26.824999999999999</v>
      </c>
      <c r="S21" s="223">
        <f>X21*R21</f>
        <v>3165.35</v>
      </c>
      <c r="T21" s="223">
        <f t="shared" si="4"/>
        <v>54.650000000000091</v>
      </c>
      <c r="U21" s="221">
        <v>4310</v>
      </c>
      <c r="V21" s="233"/>
      <c r="W21" s="223"/>
      <c r="X21" s="196">
        <f t="shared" si="1"/>
        <v>118</v>
      </c>
    </row>
    <row r="22" spans="1:24" s="221" customFormat="1">
      <c r="A22" s="226" t="s">
        <v>2492</v>
      </c>
      <c r="B22" s="226" t="s">
        <v>2491</v>
      </c>
      <c r="C22" s="226"/>
      <c r="D22" s="226" t="s">
        <v>2476</v>
      </c>
      <c r="E22" s="226"/>
      <c r="F22" s="226" t="s">
        <v>1720</v>
      </c>
      <c r="G22" s="220" t="str">
        <f t="shared" si="0"/>
        <v>20/5/2004</v>
      </c>
      <c r="H22" s="242">
        <v>20</v>
      </c>
      <c r="I22" s="242">
        <v>5</v>
      </c>
      <c r="J22" s="225">
        <v>2004</v>
      </c>
      <c r="K22" s="226" t="s">
        <v>30</v>
      </c>
      <c r="L22" s="226">
        <v>5615</v>
      </c>
      <c r="M22" s="226" t="s">
        <v>869</v>
      </c>
      <c r="N22" s="230">
        <v>3506.25</v>
      </c>
      <c r="O22" s="230" t="s">
        <v>161</v>
      </c>
      <c r="Q22" s="221">
        <v>10</v>
      </c>
      <c r="R22" s="112">
        <f t="shared" si="2"/>
        <v>29.210416666666664</v>
      </c>
      <c r="S22" s="223">
        <f>X22*R22</f>
        <v>3476.0395833333328</v>
      </c>
      <c r="T22" s="223">
        <f t="shared" si="4"/>
        <v>30.210416666667243</v>
      </c>
      <c r="U22" s="221">
        <v>3890</v>
      </c>
      <c r="V22" s="233"/>
      <c r="W22" s="223"/>
      <c r="X22" s="196">
        <f t="shared" si="1"/>
        <v>119</v>
      </c>
    </row>
    <row r="23" spans="1:24" s="221" customFormat="1">
      <c r="A23" s="226" t="s">
        <v>2490</v>
      </c>
      <c r="B23" s="226" t="s">
        <v>2489</v>
      </c>
      <c r="C23" s="226"/>
      <c r="D23" s="226"/>
      <c r="E23" s="226"/>
      <c r="F23" s="226" t="s">
        <v>1972</v>
      </c>
      <c r="G23" s="220" t="str">
        <f t="shared" si="0"/>
        <v>27/5/2003</v>
      </c>
      <c r="H23" s="242">
        <v>27</v>
      </c>
      <c r="I23" s="242">
        <v>5</v>
      </c>
      <c r="J23" s="225">
        <v>2003</v>
      </c>
      <c r="K23" s="226" t="s">
        <v>30</v>
      </c>
      <c r="L23" s="226">
        <v>29026</v>
      </c>
      <c r="M23" s="226" t="s">
        <v>869</v>
      </c>
      <c r="N23" s="230">
        <v>2285</v>
      </c>
      <c r="O23" s="230"/>
      <c r="Q23" s="221">
        <v>10</v>
      </c>
      <c r="R23" s="112">
        <f t="shared" si="2"/>
        <v>19.033333333333335</v>
      </c>
      <c r="S23" s="223">
        <f>X23*R23</f>
        <v>2284</v>
      </c>
      <c r="T23" s="223">
        <f t="shared" si="4"/>
        <v>1</v>
      </c>
      <c r="U23" s="221">
        <v>1361</v>
      </c>
      <c r="V23" s="233"/>
      <c r="W23" s="223"/>
      <c r="X23" s="196">
        <f t="shared" si="1"/>
        <v>120</v>
      </c>
    </row>
    <row r="24" spans="1:24" s="221" customFormat="1">
      <c r="A24" s="226" t="s">
        <v>2488</v>
      </c>
      <c r="B24" s="226" t="str">
        <f>+B25</f>
        <v>Archivo de 2 gavetas, color crema, 8 1/2 x 13</v>
      </c>
      <c r="C24" s="226"/>
      <c r="D24" s="226"/>
      <c r="E24" s="226"/>
      <c r="F24" s="226" t="s">
        <v>1421</v>
      </c>
      <c r="G24" s="220" t="str">
        <f t="shared" si="0"/>
        <v>30/10/2002</v>
      </c>
      <c r="H24" s="242">
        <v>30</v>
      </c>
      <c r="I24" s="242">
        <v>10</v>
      </c>
      <c r="J24" s="225">
        <v>2002</v>
      </c>
      <c r="K24" s="226" t="s">
        <v>30</v>
      </c>
      <c r="L24" s="226">
        <v>5602</v>
      </c>
      <c r="M24" s="226" t="s">
        <v>869</v>
      </c>
      <c r="N24" s="230">
        <v>1880</v>
      </c>
      <c r="O24" s="230" t="s">
        <v>824</v>
      </c>
      <c r="Q24" s="221">
        <v>10</v>
      </c>
      <c r="R24" s="112">
        <f t="shared" si="2"/>
        <v>15.658333333333333</v>
      </c>
      <c r="S24" s="223">
        <f>X24*R24</f>
        <v>1879</v>
      </c>
      <c r="T24" s="223">
        <f t="shared" si="4"/>
        <v>1</v>
      </c>
      <c r="U24" s="221">
        <v>929</v>
      </c>
      <c r="V24" s="233"/>
      <c r="W24" s="223"/>
      <c r="X24" s="196">
        <f t="shared" si="1"/>
        <v>120</v>
      </c>
    </row>
    <row r="25" spans="1:24" s="221" customFormat="1">
      <c r="A25" s="226" t="s">
        <v>2487</v>
      </c>
      <c r="B25" s="226" t="s">
        <v>2486</v>
      </c>
      <c r="C25" s="226"/>
      <c r="D25" s="226"/>
      <c r="E25" s="226"/>
      <c r="F25" s="226" t="s">
        <v>1421</v>
      </c>
      <c r="G25" s="220" t="str">
        <f t="shared" si="0"/>
        <v>30/10/2002</v>
      </c>
      <c r="H25" s="242">
        <v>30</v>
      </c>
      <c r="I25" s="242">
        <v>10</v>
      </c>
      <c r="J25" s="225">
        <v>2002</v>
      </c>
      <c r="K25" s="226" t="s">
        <v>30</v>
      </c>
      <c r="L25" s="226">
        <v>5602</v>
      </c>
      <c r="M25" s="226" t="s">
        <v>869</v>
      </c>
      <c r="N25" s="230">
        <v>1880</v>
      </c>
      <c r="O25" s="230" t="s">
        <v>824</v>
      </c>
      <c r="Q25" s="221">
        <v>10</v>
      </c>
      <c r="R25" s="112">
        <f t="shared" si="2"/>
        <v>15.658333333333333</v>
      </c>
      <c r="S25" s="223">
        <f>X25*R25</f>
        <v>1879</v>
      </c>
      <c r="T25" s="223">
        <f t="shared" si="4"/>
        <v>1</v>
      </c>
      <c r="U25" s="221">
        <v>929</v>
      </c>
      <c r="V25" s="233"/>
      <c r="W25" s="223"/>
      <c r="X25" s="196">
        <f t="shared" si="1"/>
        <v>120</v>
      </c>
    </row>
    <row r="26" spans="1:24" s="221" customFormat="1">
      <c r="A26" s="226" t="s">
        <v>2485</v>
      </c>
      <c r="B26" s="226" t="s">
        <v>2484</v>
      </c>
      <c r="C26" s="226"/>
      <c r="D26" s="226"/>
      <c r="E26" s="226"/>
      <c r="F26" s="226"/>
      <c r="G26" s="220" t="str">
        <f t="shared" si="0"/>
        <v>//</v>
      </c>
      <c r="H26" s="242"/>
      <c r="I26" s="242"/>
      <c r="J26" s="225"/>
      <c r="K26" s="226"/>
      <c r="L26" s="225"/>
      <c r="M26" s="226" t="s">
        <v>869</v>
      </c>
      <c r="N26" s="230">
        <v>1</v>
      </c>
      <c r="O26" s="230"/>
      <c r="Q26" s="221">
        <v>10</v>
      </c>
      <c r="R26" s="112">
        <f t="shared" si="2"/>
        <v>0</v>
      </c>
      <c r="S26" s="223">
        <v>0</v>
      </c>
      <c r="T26" s="223">
        <f t="shared" si="4"/>
        <v>1</v>
      </c>
      <c r="V26" s="233"/>
      <c r="W26" s="223"/>
      <c r="X26" s="196" t="e">
        <f t="shared" si="1"/>
        <v>#VALUE!</v>
      </c>
    </row>
    <row r="27" spans="1:24" s="221" customFormat="1">
      <c r="A27" s="226" t="s">
        <v>2483</v>
      </c>
      <c r="B27" s="226" t="s">
        <v>2477</v>
      </c>
      <c r="C27" s="226"/>
      <c r="D27" s="226"/>
      <c r="E27" s="226"/>
      <c r="F27" s="226" t="s">
        <v>1421</v>
      </c>
      <c r="G27" s="220" t="str">
        <f t="shared" si="0"/>
        <v>10/8/2002</v>
      </c>
      <c r="H27" s="242">
        <v>10</v>
      </c>
      <c r="I27" s="242">
        <v>8</v>
      </c>
      <c r="J27" s="225">
        <v>2002</v>
      </c>
      <c r="K27" s="226" t="s">
        <v>30</v>
      </c>
      <c r="L27" s="226">
        <v>5508</v>
      </c>
      <c r="M27" s="226" t="s">
        <v>869</v>
      </c>
      <c r="N27" s="230">
        <v>1800</v>
      </c>
      <c r="O27" s="230"/>
      <c r="Q27" s="221">
        <v>10</v>
      </c>
      <c r="R27" s="112">
        <f t="shared" si="2"/>
        <v>14.991666666666667</v>
      </c>
      <c r="S27" s="223">
        <f t="shared" ref="S27:S34" si="5">X27*R27</f>
        <v>1799</v>
      </c>
      <c r="T27" s="223">
        <f t="shared" si="4"/>
        <v>1</v>
      </c>
      <c r="U27" s="221">
        <v>877</v>
      </c>
      <c r="V27" s="233"/>
      <c r="W27" s="223"/>
      <c r="X27" s="196">
        <f t="shared" si="1"/>
        <v>120</v>
      </c>
    </row>
    <row r="28" spans="1:24" s="221" customFormat="1">
      <c r="A28" s="226" t="s">
        <v>2482</v>
      </c>
      <c r="B28" s="226" t="s">
        <v>2477</v>
      </c>
      <c r="C28" s="226"/>
      <c r="D28" s="226"/>
      <c r="E28" s="226"/>
      <c r="F28" s="226" t="str">
        <f>+F27</f>
        <v>Dominicana de Oficina, S.A.</v>
      </c>
      <c r="G28" s="220" t="str">
        <f t="shared" si="0"/>
        <v>10/8/2002</v>
      </c>
      <c r="H28" s="242">
        <v>10</v>
      </c>
      <c r="I28" s="242">
        <v>8</v>
      </c>
      <c r="J28" s="225">
        <v>2002</v>
      </c>
      <c r="K28" s="226" t="s">
        <v>30</v>
      </c>
      <c r="L28" s="226">
        <v>5508</v>
      </c>
      <c r="M28" s="226" t="s">
        <v>869</v>
      </c>
      <c r="N28" s="230">
        <v>1800</v>
      </c>
      <c r="O28" s="230"/>
      <c r="Q28" s="221">
        <v>10</v>
      </c>
      <c r="R28" s="112">
        <f t="shared" si="2"/>
        <v>14.991666666666667</v>
      </c>
      <c r="S28" s="223">
        <f t="shared" si="5"/>
        <v>1799</v>
      </c>
      <c r="T28" s="223">
        <f t="shared" si="4"/>
        <v>1</v>
      </c>
      <c r="U28" s="221">
        <v>877</v>
      </c>
      <c r="V28" s="233"/>
      <c r="W28" s="223"/>
      <c r="X28" s="196">
        <f t="shared" si="1"/>
        <v>120</v>
      </c>
    </row>
    <row r="29" spans="1:24" s="221" customFormat="1">
      <c r="A29" s="226" t="s">
        <v>2481</v>
      </c>
      <c r="B29" s="226" t="s">
        <v>2477</v>
      </c>
      <c r="C29" s="226"/>
      <c r="D29" s="226"/>
      <c r="E29" s="226"/>
      <c r="F29" s="226" t="s">
        <v>1421</v>
      </c>
      <c r="G29" s="220" t="str">
        <f t="shared" si="0"/>
        <v>10/8/2002</v>
      </c>
      <c r="H29" s="242">
        <v>10</v>
      </c>
      <c r="I29" s="242">
        <v>8</v>
      </c>
      <c r="J29" s="225">
        <v>2002</v>
      </c>
      <c r="K29" s="226" t="s">
        <v>30</v>
      </c>
      <c r="L29" s="226">
        <v>5508</v>
      </c>
      <c r="M29" s="226" t="s">
        <v>869</v>
      </c>
      <c r="N29" s="230">
        <v>1800</v>
      </c>
      <c r="O29" s="230"/>
      <c r="Q29" s="221">
        <v>10</v>
      </c>
      <c r="R29" s="112">
        <f t="shared" si="2"/>
        <v>14.991666666666667</v>
      </c>
      <c r="S29" s="223">
        <f t="shared" si="5"/>
        <v>1799</v>
      </c>
      <c r="T29" s="223">
        <f t="shared" si="4"/>
        <v>1</v>
      </c>
      <c r="U29" s="221">
        <v>877</v>
      </c>
      <c r="V29" s="233"/>
      <c r="W29" s="223"/>
      <c r="X29" s="196">
        <f t="shared" si="1"/>
        <v>120</v>
      </c>
    </row>
    <row r="30" spans="1:24" s="221" customFormat="1">
      <c r="A30" s="226" t="s">
        <v>2480</v>
      </c>
      <c r="B30" s="226" t="s">
        <v>2477</v>
      </c>
      <c r="C30" s="226"/>
      <c r="D30" s="226" t="s">
        <v>2476</v>
      </c>
      <c r="E30" s="226"/>
      <c r="F30" s="226" t="s">
        <v>1720</v>
      </c>
      <c r="G30" s="220" t="str">
        <f t="shared" si="0"/>
        <v>20/5/2004</v>
      </c>
      <c r="H30" s="242">
        <v>20</v>
      </c>
      <c r="I30" s="242">
        <v>5</v>
      </c>
      <c r="J30" s="225">
        <v>2004</v>
      </c>
      <c r="K30" s="226" t="s">
        <v>30</v>
      </c>
      <c r="L30" s="226">
        <v>5615</v>
      </c>
      <c r="M30" s="226" t="s">
        <v>869</v>
      </c>
      <c r="N30" s="230">
        <v>3506.25</v>
      </c>
      <c r="O30" s="230" t="s">
        <v>161</v>
      </c>
      <c r="Q30" s="221">
        <v>10</v>
      </c>
      <c r="R30" s="112">
        <f t="shared" si="2"/>
        <v>29.210416666666664</v>
      </c>
      <c r="S30" s="223">
        <f t="shared" si="5"/>
        <v>3476.0395833333328</v>
      </c>
      <c r="T30" s="223">
        <f t="shared" si="4"/>
        <v>30.210416666667243</v>
      </c>
      <c r="U30" s="221">
        <v>3890</v>
      </c>
      <c r="V30" s="233"/>
      <c r="W30" s="223"/>
      <c r="X30" s="196">
        <f t="shared" si="1"/>
        <v>119</v>
      </c>
    </row>
    <row r="31" spans="1:24" s="221" customFormat="1">
      <c r="A31" s="226" t="s">
        <v>2479</v>
      </c>
      <c r="B31" s="226" t="s">
        <v>2477</v>
      </c>
      <c r="C31" s="226"/>
      <c r="D31" s="226" t="s">
        <v>2476</v>
      </c>
      <c r="E31" s="226"/>
      <c r="F31" s="226" t="s">
        <v>1720</v>
      </c>
      <c r="G31" s="220" t="str">
        <f t="shared" si="0"/>
        <v>20/5/2004</v>
      </c>
      <c r="H31" s="242">
        <v>20</v>
      </c>
      <c r="I31" s="242">
        <v>5</v>
      </c>
      <c r="J31" s="225">
        <v>2004</v>
      </c>
      <c r="K31" s="226" t="s">
        <v>30</v>
      </c>
      <c r="L31" s="226">
        <v>5615</v>
      </c>
      <c r="M31" s="226" t="s">
        <v>869</v>
      </c>
      <c r="N31" s="230">
        <v>3506.25</v>
      </c>
      <c r="O31" s="230" t="s">
        <v>161</v>
      </c>
      <c r="Q31" s="221">
        <v>10</v>
      </c>
      <c r="R31" s="112">
        <f t="shared" si="2"/>
        <v>29.210416666666664</v>
      </c>
      <c r="S31" s="223">
        <f t="shared" si="5"/>
        <v>3476.0395833333328</v>
      </c>
      <c r="T31" s="223">
        <f t="shared" si="4"/>
        <v>30.210416666667243</v>
      </c>
      <c r="U31" s="221">
        <v>3890</v>
      </c>
      <c r="V31" s="233"/>
      <c r="W31" s="223"/>
      <c r="X31" s="196">
        <f t="shared" si="1"/>
        <v>119</v>
      </c>
    </row>
    <row r="32" spans="1:24" s="221" customFormat="1">
      <c r="A32" s="226" t="s">
        <v>2478</v>
      </c>
      <c r="B32" s="226" t="s">
        <v>2477</v>
      </c>
      <c r="C32" s="226"/>
      <c r="D32" s="226" t="s">
        <v>2476</v>
      </c>
      <c r="E32" s="226"/>
      <c r="F32" s="226" t="s">
        <v>1720</v>
      </c>
      <c r="G32" s="220" t="str">
        <f t="shared" si="0"/>
        <v>20/5/2004</v>
      </c>
      <c r="H32" s="242">
        <v>20</v>
      </c>
      <c r="I32" s="242">
        <v>5</v>
      </c>
      <c r="J32" s="225">
        <v>2004</v>
      </c>
      <c r="K32" s="226" t="s">
        <v>30</v>
      </c>
      <c r="L32" s="226">
        <v>5615</v>
      </c>
      <c r="M32" s="226" t="s">
        <v>869</v>
      </c>
      <c r="N32" s="230">
        <v>3506.25</v>
      </c>
      <c r="O32" s="230"/>
      <c r="Q32" s="221">
        <v>10</v>
      </c>
      <c r="R32" s="112">
        <f t="shared" si="2"/>
        <v>29.210416666666664</v>
      </c>
      <c r="S32" s="223">
        <f t="shared" si="5"/>
        <v>3476.0395833333328</v>
      </c>
      <c r="T32" s="223">
        <f t="shared" si="4"/>
        <v>30.210416666667243</v>
      </c>
      <c r="U32" s="221">
        <v>3890</v>
      </c>
      <c r="V32" s="233"/>
      <c r="W32" s="223"/>
      <c r="X32" s="196">
        <f t="shared" si="1"/>
        <v>119</v>
      </c>
    </row>
    <row r="33" spans="1:24" s="221" customFormat="1">
      <c r="A33" s="226" t="s">
        <v>2475</v>
      </c>
      <c r="B33" s="226" t="s">
        <v>2474</v>
      </c>
      <c r="C33" s="226"/>
      <c r="D33" s="226"/>
      <c r="E33" s="226"/>
      <c r="F33" s="226" t="s">
        <v>1421</v>
      </c>
      <c r="G33" s="220" t="str">
        <f t="shared" si="0"/>
        <v>29/11/2002</v>
      </c>
      <c r="H33" s="242">
        <v>29</v>
      </c>
      <c r="I33" s="242">
        <v>11</v>
      </c>
      <c r="J33" s="225">
        <v>2002</v>
      </c>
      <c r="K33" s="226" t="s">
        <v>30</v>
      </c>
      <c r="L33" s="226">
        <v>5737</v>
      </c>
      <c r="M33" s="226" t="s">
        <v>869</v>
      </c>
      <c r="N33" s="230">
        <v>1882</v>
      </c>
      <c r="O33" s="230"/>
      <c r="Q33" s="221">
        <v>10</v>
      </c>
      <c r="R33" s="112">
        <f t="shared" si="2"/>
        <v>15.674999999999999</v>
      </c>
      <c r="S33" s="223">
        <f t="shared" si="5"/>
        <v>1880.9999999999998</v>
      </c>
      <c r="T33" s="223">
        <f t="shared" si="4"/>
        <v>1.0000000000002274</v>
      </c>
      <c r="U33" s="221">
        <v>1118</v>
      </c>
      <c r="V33" s="233"/>
      <c r="W33" s="223"/>
      <c r="X33" s="196">
        <f t="shared" si="1"/>
        <v>120</v>
      </c>
    </row>
    <row r="34" spans="1:24" s="221" customFormat="1">
      <c r="A34" s="226" t="s">
        <v>2473</v>
      </c>
      <c r="B34" s="226" t="str">
        <f>+B23</f>
        <v>Archivo de 2 gavetas, Color crema</v>
      </c>
      <c r="C34" s="226"/>
      <c r="D34" s="226"/>
      <c r="E34" s="226"/>
      <c r="F34" s="226" t="s">
        <v>1421</v>
      </c>
      <c r="G34" s="220" t="str">
        <f t="shared" si="0"/>
        <v>29/11/2002</v>
      </c>
      <c r="H34" s="242">
        <v>29</v>
      </c>
      <c r="I34" s="242">
        <v>11</v>
      </c>
      <c r="J34" s="225">
        <v>2002</v>
      </c>
      <c r="K34" s="226" t="s">
        <v>30</v>
      </c>
      <c r="L34" s="226">
        <v>5737</v>
      </c>
      <c r="M34" s="226" t="s">
        <v>869</v>
      </c>
      <c r="N34" s="230">
        <v>1882</v>
      </c>
      <c r="O34" s="230"/>
      <c r="Q34" s="221">
        <v>10</v>
      </c>
      <c r="R34" s="112">
        <f t="shared" si="2"/>
        <v>15.674999999999999</v>
      </c>
      <c r="S34" s="223">
        <f t="shared" si="5"/>
        <v>1880.9999999999998</v>
      </c>
      <c r="T34" s="223">
        <f t="shared" si="4"/>
        <v>1.0000000000002274</v>
      </c>
      <c r="U34" s="221">
        <v>1118</v>
      </c>
      <c r="V34" s="233"/>
      <c r="W34" s="223"/>
      <c r="X34" s="196">
        <f t="shared" si="1"/>
        <v>120</v>
      </c>
    </row>
    <row r="35" spans="1:24" s="221" customFormat="1">
      <c r="A35" s="226" t="s">
        <v>2472</v>
      </c>
      <c r="B35" s="226" t="s">
        <v>2471</v>
      </c>
      <c r="C35" s="226"/>
      <c r="D35" s="226"/>
      <c r="E35" s="226"/>
      <c r="F35" s="226"/>
      <c r="G35" s="220" t="str">
        <f t="shared" si="0"/>
        <v>//</v>
      </c>
      <c r="H35" s="242"/>
      <c r="I35" s="242"/>
      <c r="J35" s="225"/>
      <c r="K35" s="226"/>
      <c r="L35" s="226"/>
      <c r="M35" s="226" t="s">
        <v>869</v>
      </c>
      <c r="N35" s="230"/>
      <c r="O35" s="230"/>
      <c r="Q35" s="221">
        <v>10</v>
      </c>
      <c r="R35" s="112">
        <f t="shared" si="2"/>
        <v>-8.3333333333333332E-3</v>
      </c>
      <c r="S35" s="223">
        <v>0</v>
      </c>
      <c r="T35" s="223">
        <f t="shared" si="4"/>
        <v>0</v>
      </c>
      <c r="V35" s="233"/>
      <c r="W35" s="223"/>
      <c r="X35" s="196" t="e">
        <f t="shared" si="1"/>
        <v>#VALUE!</v>
      </c>
    </row>
    <row r="36" spans="1:24" s="221" customFormat="1">
      <c r="A36" s="226" t="s">
        <v>2470</v>
      </c>
      <c r="B36" s="226" t="s">
        <v>2464</v>
      </c>
      <c r="C36" s="226"/>
      <c r="D36" s="226" t="s">
        <v>2441</v>
      </c>
      <c r="E36" s="226"/>
      <c r="F36" s="226" t="s">
        <v>2469</v>
      </c>
      <c r="G36" s="220" t="str">
        <f t="shared" si="0"/>
        <v>14/6/2004</v>
      </c>
      <c r="H36" s="242">
        <v>14</v>
      </c>
      <c r="I36" s="242">
        <v>6</v>
      </c>
      <c r="J36" s="225">
        <v>2004</v>
      </c>
      <c r="K36" s="226" t="s">
        <v>30</v>
      </c>
      <c r="L36" s="226">
        <v>18154</v>
      </c>
      <c r="M36" s="226" t="s">
        <v>869</v>
      </c>
      <c r="N36" s="230">
        <v>5695</v>
      </c>
      <c r="O36" s="230"/>
      <c r="Q36" s="221">
        <v>10</v>
      </c>
      <c r="R36" s="112">
        <f t="shared" si="2"/>
        <v>47.449999999999996</v>
      </c>
      <c r="S36" s="223">
        <f>X36*R36</f>
        <v>5599.0999999999995</v>
      </c>
      <c r="T36" s="223">
        <f t="shared" si="4"/>
        <v>95.900000000000546</v>
      </c>
      <c r="U36" s="221">
        <v>4310</v>
      </c>
      <c r="V36" s="233"/>
      <c r="W36" s="223"/>
      <c r="X36" s="196">
        <f t="shared" si="1"/>
        <v>118</v>
      </c>
    </row>
    <row r="37" spans="1:24" s="221" customFormat="1" ht="31.5">
      <c r="A37" s="226" t="s">
        <v>2468</v>
      </c>
      <c r="B37" s="226" t="s">
        <v>2464</v>
      </c>
      <c r="C37" s="226"/>
      <c r="D37" s="226" t="s">
        <v>2441</v>
      </c>
      <c r="E37" s="226"/>
      <c r="F37" s="226" t="s">
        <v>1720</v>
      </c>
      <c r="G37" s="220" t="str">
        <f t="shared" si="0"/>
        <v>23/1/2006</v>
      </c>
      <c r="H37" s="242">
        <v>23</v>
      </c>
      <c r="I37" s="242">
        <v>1</v>
      </c>
      <c r="J37" s="225">
        <v>2006</v>
      </c>
      <c r="K37" s="226" t="s">
        <v>30</v>
      </c>
      <c r="L37" s="226">
        <v>6263</v>
      </c>
      <c r="M37" s="226" t="s">
        <v>869</v>
      </c>
      <c r="N37" s="230">
        <v>6913</v>
      </c>
      <c r="O37" s="199" t="s">
        <v>2467</v>
      </c>
      <c r="Q37" s="221">
        <v>10</v>
      </c>
      <c r="R37" s="112">
        <f t="shared" si="2"/>
        <v>57.6</v>
      </c>
      <c r="S37" s="223">
        <f>X37*R37</f>
        <v>5702.4000000000005</v>
      </c>
      <c r="T37" s="223">
        <f t="shared" si="4"/>
        <v>1210.5999999999995</v>
      </c>
      <c r="U37" s="221">
        <v>7768</v>
      </c>
      <c r="V37" s="233"/>
      <c r="W37" s="223"/>
      <c r="X37" s="196">
        <f t="shared" si="1"/>
        <v>99</v>
      </c>
    </row>
    <row r="38" spans="1:24" s="221" customFormat="1">
      <c r="A38" s="226" t="s">
        <v>2466</v>
      </c>
      <c r="B38" s="226" t="s">
        <v>2464</v>
      </c>
      <c r="C38" s="226"/>
      <c r="D38" s="226" t="s">
        <v>2441</v>
      </c>
      <c r="E38" s="226"/>
      <c r="F38" s="226" t="s">
        <v>1421</v>
      </c>
      <c r="G38" s="220" t="str">
        <f t="shared" si="0"/>
        <v>26/6/2002</v>
      </c>
      <c r="H38" s="242">
        <v>26</v>
      </c>
      <c r="I38" s="242">
        <v>6</v>
      </c>
      <c r="J38" s="225">
        <v>2002</v>
      </c>
      <c r="K38" s="226" t="s">
        <v>30</v>
      </c>
      <c r="L38" s="226">
        <v>5093</v>
      </c>
      <c r="M38" s="226" t="s">
        <v>869</v>
      </c>
      <c r="N38" s="230">
        <v>2844.8</v>
      </c>
      <c r="O38" s="230"/>
      <c r="Q38" s="221">
        <v>10</v>
      </c>
      <c r="R38" s="112">
        <f t="shared" si="2"/>
        <v>23.698333333333334</v>
      </c>
      <c r="S38" s="223">
        <f>X38*R38</f>
        <v>2843.8</v>
      </c>
      <c r="T38" s="223">
        <f t="shared" si="4"/>
        <v>1</v>
      </c>
      <c r="U38" s="221">
        <v>393</v>
      </c>
      <c r="V38" s="233"/>
      <c r="W38" s="223"/>
      <c r="X38" s="196">
        <f t="shared" si="1"/>
        <v>120</v>
      </c>
    </row>
    <row r="39" spans="1:24" s="221" customFormat="1">
      <c r="A39" s="226" t="s">
        <v>2465</v>
      </c>
      <c r="B39" s="226" t="s">
        <v>2464</v>
      </c>
      <c r="C39" s="226"/>
      <c r="D39" s="226"/>
      <c r="E39" s="226"/>
      <c r="F39" s="226"/>
      <c r="G39" s="220" t="str">
        <f t="shared" si="0"/>
        <v>//</v>
      </c>
      <c r="H39" s="242"/>
      <c r="I39" s="242"/>
      <c r="J39" s="225"/>
      <c r="K39" s="226"/>
      <c r="L39" s="226"/>
      <c r="M39" s="226" t="s">
        <v>869</v>
      </c>
      <c r="N39" s="230">
        <v>1</v>
      </c>
      <c r="O39" s="230"/>
      <c r="Q39" s="221">
        <v>10</v>
      </c>
      <c r="R39" s="112">
        <f t="shared" si="2"/>
        <v>0</v>
      </c>
      <c r="S39" s="223">
        <v>0</v>
      </c>
      <c r="T39" s="223">
        <f t="shared" si="4"/>
        <v>1</v>
      </c>
      <c r="V39" s="233"/>
      <c r="W39" s="223"/>
      <c r="X39" s="196" t="e">
        <f t="shared" si="1"/>
        <v>#VALUE!</v>
      </c>
    </row>
    <row r="40" spans="1:24" s="221" customFormat="1">
      <c r="A40" s="226" t="s">
        <v>2463</v>
      </c>
      <c r="B40" s="226" t="s">
        <v>2462</v>
      </c>
      <c r="C40" s="226"/>
      <c r="D40" s="226">
        <v>2001</v>
      </c>
      <c r="E40" s="226"/>
      <c r="F40" s="226" t="s">
        <v>1724</v>
      </c>
      <c r="G40" s="220" t="str">
        <f t="shared" si="0"/>
        <v>23/3/2006</v>
      </c>
      <c r="H40" s="242">
        <v>23</v>
      </c>
      <c r="I40" s="242">
        <v>3</v>
      </c>
      <c r="J40" s="225">
        <v>2006</v>
      </c>
      <c r="K40" s="226" t="s">
        <v>30</v>
      </c>
      <c r="L40" s="226">
        <v>8006</v>
      </c>
      <c r="M40" s="226" t="s">
        <v>869</v>
      </c>
      <c r="N40" s="230">
        <v>7472.21</v>
      </c>
      <c r="O40" s="230" t="s">
        <v>161</v>
      </c>
      <c r="Q40" s="221">
        <v>10</v>
      </c>
      <c r="R40" s="112">
        <f t="shared" si="2"/>
        <v>62.260083333333334</v>
      </c>
      <c r="S40" s="223">
        <f>X40*R40</f>
        <v>6039.2280833333334</v>
      </c>
      <c r="T40" s="223">
        <f t="shared" si="4"/>
        <v>1432.9819166666666</v>
      </c>
      <c r="U40" s="221">
        <v>8031</v>
      </c>
      <c r="V40" s="233"/>
      <c r="W40" s="223"/>
      <c r="X40" s="196">
        <f t="shared" si="1"/>
        <v>97</v>
      </c>
    </row>
    <row r="41" spans="1:24" s="221" customFormat="1">
      <c r="A41" s="226" t="s">
        <v>2461</v>
      </c>
      <c r="B41" s="226" t="s">
        <v>2460</v>
      </c>
      <c r="C41" s="226"/>
      <c r="D41" s="226"/>
      <c r="E41" s="226"/>
      <c r="F41" s="226"/>
      <c r="G41" s="220" t="str">
        <f t="shared" si="0"/>
        <v>//</v>
      </c>
      <c r="H41" s="242"/>
      <c r="I41" s="242"/>
      <c r="J41" s="225"/>
      <c r="K41" s="226"/>
      <c r="L41" s="226"/>
      <c r="M41" s="226" t="s">
        <v>869</v>
      </c>
      <c r="N41" s="230">
        <v>1</v>
      </c>
      <c r="O41" s="230" t="s">
        <v>161</v>
      </c>
      <c r="Q41" s="221">
        <v>10</v>
      </c>
      <c r="R41" s="112">
        <f t="shared" si="2"/>
        <v>0</v>
      </c>
      <c r="S41" s="223">
        <v>0</v>
      </c>
      <c r="T41" s="223">
        <f t="shared" si="4"/>
        <v>1</v>
      </c>
      <c r="V41" s="233"/>
      <c r="W41" s="223"/>
      <c r="X41" s="196" t="e">
        <f t="shared" si="1"/>
        <v>#VALUE!</v>
      </c>
    </row>
    <row r="42" spans="1:24" s="221" customFormat="1">
      <c r="A42" s="226" t="s">
        <v>2459</v>
      </c>
      <c r="B42" s="226" t="s">
        <v>2456</v>
      </c>
      <c r="C42" s="226"/>
      <c r="D42" s="226"/>
      <c r="E42" s="226"/>
      <c r="F42" s="226" t="s">
        <v>1421</v>
      </c>
      <c r="G42" s="220" t="str">
        <f t="shared" si="0"/>
        <v>24/6/2003</v>
      </c>
      <c r="H42" s="242">
        <v>24</v>
      </c>
      <c r="I42" s="242">
        <v>6</v>
      </c>
      <c r="J42" s="225">
        <v>2003</v>
      </c>
      <c r="K42" s="226" t="s">
        <v>30</v>
      </c>
      <c r="L42" s="226">
        <v>6521</v>
      </c>
      <c r="M42" s="226" t="s">
        <v>869</v>
      </c>
      <c r="N42" s="230">
        <v>4600</v>
      </c>
      <c r="O42" s="230"/>
      <c r="Q42" s="221">
        <v>10</v>
      </c>
      <c r="R42" s="112">
        <f t="shared" si="2"/>
        <v>38.324999999999996</v>
      </c>
      <c r="S42" s="223">
        <f t="shared" ref="S42:S47" si="6">X42*R42</f>
        <v>4598.9999999999991</v>
      </c>
      <c r="T42" s="223">
        <f t="shared" si="4"/>
        <v>1.0000000000009095</v>
      </c>
      <c r="U42" s="221">
        <v>1559</v>
      </c>
      <c r="V42" s="233"/>
      <c r="W42" s="223"/>
      <c r="X42" s="196">
        <f t="shared" si="1"/>
        <v>120</v>
      </c>
    </row>
    <row r="43" spans="1:24" s="221" customFormat="1">
      <c r="A43" s="226" t="s">
        <v>2458</v>
      </c>
      <c r="B43" s="226" t="s">
        <v>2456</v>
      </c>
      <c r="C43" s="226"/>
      <c r="D43" s="226"/>
      <c r="E43" s="226"/>
      <c r="F43" s="226"/>
      <c r="G43" s="220" t="str">
        <f t="shared" si="0"/>
        <v>31/12/2003</v>
      </c>
      <c r="H43" s="242">
        <v>31</v>
      </c>
      <c r="I43" s="242">
        <v>12</v>
      </c>
      <c r="J43" s="225">
        <v>2003</v>
      </c>
      <c r="K43" s="226"/>
      <c r="L43" s="225"/>
      <c r="M43" s="226" t="s">
        <v>869</v>
      </c>
      <c r="N43" s="230">
        <v>711.2</v>
      </c>
      <c r="O43" s="230" t="s">
        <v>161</v>
      </c>
      <c r="Q43" s="221">
        <v>10</v>
      </c>
      <c r="R43" s="112">
        <f t="shared" si="2"/>
        <v>5.9183333333333339</v>
      </c>
      <c r="S43" s="223">
        <f t="shared" si="6"/>
        <v>710.2</v>
      </c>
      <c r="T43" s="223">
        <f t="shared" si="4"/>
        <v>1</v>
      </c>
      <c r="V43" s="233"/>
      <c r="W43" s="223"/>
      <c r="X43" s="196">
        <f t="shared" si="1"/>
        <v>120</v>
      </c>
    </row>
    <row r="44" spans="1:24" s="221" customFormat="1">
      <c r="A44" s="226" t="s">
        <v>2457</v>
      </c>
      <c r="B44" s="226" t="s">
        <v>2456</v>
      </c>
      <c r="C44" s="226"/>
      <c r="D44" s="226"/>
      <c r="E44" s="226"/>
      <c r="F44" s="226"/>
      <c r="G44" s="220" t="str">
        <f t="shared" si="0"/>
        <v>31/12/2003</v>
      </c>
      <c r="H44" s="242">
        <v>31</v>
      </c>
      <c r="I44" s="242">
        <v>12</v>
      </c>
      <c r="J44" s="225">
        <v>2003</v>
      </c>
      <c r="K44" s="226"/>
      <c r="L44" s="225"/>
      <c r="M44" s="226" t="s">
        <v>869</v>
      </c>
      <c r="N44" s="230">
        <v>711.2</v>
      </c>
      <c r="O44" s="230" t="s">
        <v>1420</v>
      </c>
      <c r="Q44" s="221">
        <v>10</v>
      </c>
      <c r="R44" s="112">
        <f t="shared" si="2"/>
        <v>5.9183333333333339</v>
      </c>
      <c r="S44" s="223">
        <f t="shared" si="6"/>
        <v>710.2</v>
      </c>
      <c r="T44" s="223">
        <f t="shared" si="4"/>
        <v>1</v>
      </c>
      <c r="V44" s="233"/>
      <c r="W44" s="223"/>
      <c r="X44" s="196">
        <f t="shared" si="1"/>
        <v>120</v>
      </c>
    </row>
    <row r="45" spans="1:24" s="221" customFormat="1">
      <c r="A45" s="226" t="s">
        <v>2455</v>
      </c>
      <c r="B45" s="226" t="s">
        <v>2454</v>
      </c>
      <c r="C45" s="226"/>
      <c r="D45" s="226"/>
      <c r="E45" s="226"/>
      <c r="F45" s="226"/>
      <c r="G45" s="220" t="str">
        <f t="shared" si="0"/>
        <v>31/12/2003</v>
      </c>
      <c r="H45" s="242">
        <v>31</v>
      </c>
      <c r="I45" s="242">
        <v>12</v>
      </c>
      <c r="J45" s="225">
        <v>2003</v>
      </c>
      <c r="K45" s="226"/>
      <c r="L45" s="226"/>
      <c r="M45" s="226" t="s">
        <v>869</v>
      </c>
      <c r="N45" s="230">
        <v>1</v>
      </c>
      <c r="O45" s="230" t="s">
        <v>2427</v>
      </c>
      <c r="Q45" s="221">
        <v>10</v>
      </c>
      <c r="R45" s="112">
        <f t="shared" si="2"/>
        <v>0</v>
      </c>
      <c r="S45" s="223">
        <f t="shared" si="6"/>
        <v>0</v>
      </c>
      <c r="T45" s="223">
        <f t="shared" si="4"/>
        <v>1</v>
      </c>
      <c r="V45" s="233"/>
      <c r="W45" s="223"/>
      <c r="X45" s="196">
        <f t="shared" si="1"/>
        <v>120</v>
      </c>
    </row>
    <row r="46" spans="1:24" s="221" customFormat="1">
      <c r="A46" s="226" t="s">
        <v>2453</v>
      </c>
      <c r="B46" s="226" t="s">
        <v>2452</v>
      </c>
      <c r="C46" s="226"/>
      <c r="D46" s="226"/>
      <c r="E46" s="226"/>
      <c r="F46" s="226"/>
      <c r="G46" s="220" t="str">
        <f t="shared" si="0"/>
        <v>31/12/2003</v>
      </c>
      <c r="H46" s="242">
        <v>31</v>
      </c>
      <c r="I46" s="242">
        <v>12</v>
      </c>
      <c r="J46" s="225">
        <v>2003</v>
      </c>
      <c r="K46" s="226"/>
      <c r="L46" s="226"/>
      <c r="M46" s="226" t="s">
        <v>869</v>
      </c>
      <c r="N46" s="168">
        <v>1</v>
      </c>
      <c r="O46" s="243" t="s">
        <v>161</v>
      </c>
      <c r="Q46" s="221">
        <v>10</v>
      </c>
      <c r="R46" s="112">
        <f t="shared" si="2"/>
        <v>0</v>
      </c>
      <c r="S46" s="223">
        <f t="shared" si="6"/>
        <v>0</v>
      </c>
      <c r="T46" s="223">
        <f t="shared" si="4"/>
        <v>1</v>
      </c>
      <c r="V46" s="233"/>
      <c r="W46" s="223"/>
      <c r="X46" s="196">
        <f t="shared" si="1"/>
        <v>120</v>
      </c>
    </row>
    <row r="47" spans="1:24" s="221" customFormat="1">
      <c r="A47" s="226" t="s">
        <v>2451</v>
      </c>
      <c r="B47" s="226" t="s">
        <v>2450</v>
      </c>
      <c r="C47" s="226"/>
      <c r="D47" s="226"/>
      <c r="E47" s="226"/>
      <c r="F47" s="226" t="s">
        <v>1421</v>
      </c>
      <c r="G47" s="220" t="str">
        <f t="shared" si="0"/>
        <v>3/4/2003</v>
      </c>
      <c r="H47" s="242">
        <v>3</v>
      </c>
      <c r="I47" s="242">
        <v>4</v>
      </c>
      <c r="J47" s="225">
        <v>2003</v>
      </c>
      <c r="K47" s="226" t="s">
        <v>30</v>
      </c>
      <c r="L47" s="226">
        <v>6087</v>
      </c>
      <c r="M47" s="226" t="s">
        <v>869</v>
      </c>
      <c r="N47" s="252">
        <v>3400</v>
      </c>
      <c r="O47" s="248" t="s">
        <v>593</v>
      </c>
      <c r="Q47" s="221">
        <v>10</v>
      </c>
      <c r="R47" s="112">
        <f t="shared" si="2"/>
        <v>28.324999999999999</v>
      </c>
      <c r="S47" s="223">
        <f t="shared" si="6"/>
        <v>3399</v>
      </c>
      <c r="T47" s="223">
        <f t="shared" si="4"/>
        <v>1</v>
      </c>
      <c r="U47" s="221">
        <v>1213</v>
      </c>
      <c r="V47" s="233"/>
      <c r="W47" s="223"/>
      <c r="X47" s="196">
        <f t="shared" si="1"/>
        <v>120</v>
      </c>
    </row>
    <row r="48" spans="1:24" s="221" customFormat="1">
      <c r="A48" s="226" t="s">
        <v>2449</v>
      </c>
      <c r="B48" s="226" t="s">
        <v>2448</v>
      </c>
      <c r="C48" s="226"/>
      <c r="D48" s="226"/>
      <c r="E48" s="226"/>
      <c r="F48" s="226"/>
      <c r="G48" s="220" t="str">
        <f t="shared" si="0"/>
        <v>//</v>
      </c>
      <c r="H48" s="242"/>
      <c r="I48" s="242"/>
      <c r="J48" s="225"/>
      <c r="K48" s="226"/>
      <c r="L48" s="225"/>
      <c r="M48" s="226" t="s">
        <v>869</v>
      </c>
      <c r="N48" s="230">
        <v>1</v>
      </c>
      <c r="O48" s="230" t="s">
        <v>2447</v>
      </c>
      <c r="Q48" s="221">
        <v>10</v>
      </c>
      <c r="R48" s="112">
        <f t="shared" si="2"/>
        <v>0</v>
      </c>
      <c r="S48" s="223">
        <v>0</v>
      </c>
      <c r="T48" s="223">
        <f t="shared" si="4"/>
        <v>1</v>
      </c>
      <c r="V48" s="233"/>
      <c r="W48" s="223"/>
      <c r="X48" s="196" t="e">
        <f t="shared" si="1"/>
        <v>#VALUE!</v>
      </c>
    </row>
    <row r="49" spans="1:24" s="221" customFormat="1">
      <c r="A49" s="226" t="s">
        <v>2446</v>
      </c>
      <c r="B49" s="226" t="s">
        <v>2445</v>
      </c>
      <c r="C49" s="226"/>
      <c r="D49" s="226"/>
      <c r="E49" s="226"/>
      <c r="F49" s="226"/>
      <c r="G49" s="220" t="str">
        <f t="shared" si="0"/>
        <v>//</v>
      </c>
      <c r="H49" s="242"/>
      <c r="I49" s="242"/>
      <c r="J49" s="225"/>
      <c r="K49" s="226"/>
      <c r="L49" s="226"/>
      <c r="M49" s="226" t="s">
        <v>869</v>
      </c>
      <c r="N49" s="230">
        <v>1</v>
      </c>
      <c r="O49" s="230" t="s">
        <v>2444</v>
      </c>
      <c r="Q49" s="221">
        <v>10</v>
      </c>
      <c r="R49" s="112">
        <f t="shared" si="2"/>
        <v>0</v>
      </c>
      <c r="S49" s="223">
        <v>0</v>
      </c>
      <c r="T49" s="223">
        <f t="shared" si="4"/>
        <v>1</v>
      </c>
      <c r="V49" s="233"/>
      <c r="W49" s="223"/>
      <c r="X49" s="196" t="e">
        <f t="shared" si="1"/>
        <v>#VALUE!</v>
      </c>
    </row>
    <row r="50" spans="1:24" s="221" customFormat="1">
      <c r="A50" s="226" t="s">
        <v>2443</v>
      </c>
      <c r="B50" s="226" t="s">
        <v>2442</v>
      </c>
      <c r="C50" s="226"/>
      <c r="D50" s="226" t="s">
        <v>2441</v>
      </c>
      <c r="E50" s="226"/>
      <c r="F50" s="226" t="s">
        <v>2440</v>
      </c>
      <c r="G50" s="220" t="str">
        <f t="shared" si="0"/>
        <v>17/1/2005</v>
      </c>
      <c r="H50" s="242">
        <v>17</v>
      </c>
      <c r="I50" s="242">
        <v>1</v>
      </c>
      <c r="J50" s="225">
        <v>2005</v>
      </c>
      <c r="K50" s="226" t="s">
        <v>30</v>
      </c>
      <c r="L50" s="226">
        <v>8169</v>
      </c>
      <c r="M50" s="226" t="s">
        <v>869</v>
      </c>
      <c r="N50" s="230">
        <v>10450</v>
      </c>
      <c r="O50" s="230" t="s">
        <v>2393</v>
      </c>
      <c r="Q50" s="221">
        <v>10</v>
      </c>
      <c r="R50" s="112">
        <f t="shared" si="2"/>
        <v>87.075000000000003</v>
      </c>
      <c r="S50" s="223">
        <f t="shared" ref="S50:S59" si="7">X50*R50</f>
        <v>9665.3250000000007</v>
      </c>
      <c r="T50" s="223">
        <f t="shared" si="4"/>
        <v>784.67499999999927</v>
      </c>
      <c r="U50" s="221">
        <v>5817</v>
      </c>
      <c r="V50" s="233"/>
      <c r="W50" s="223"/>
      <c r="X50" s="196">
        <f t="shared" si="1"/>
        <v>111</v>
      </c>
    </row>
    <row r="51" spans="1:24" s="221" customFormat="1">
      <c r="A51" s="226" t="s">
        <v>2439</v>
      </c>
      <c r="B51" s="226" t="s">
        <v>2438</v>
      </c>
      <c r="C51" s="226"/>
      <c r="D51" s="226"/>
      <c r="E51" s="226"/>
      <c r="F51" s="226" t="s">
        <v>1421</v>
      </c>
      <c r="G51" s="220" t="str">
        <f t="shared" si="0"/>
        <v>3/5/2006</v>
      </c>
      <c r="H51" s="242">
        <v>3</v>
      </c>
      <c r="I51" s="242">
        <v>5</v>
      </c>
      <c r="J51" s="225">
        <v>2006</v>
      </c>
      <c r="K51" s="226" t="s">
        <v>30</v>
      </c>
      <c r="L51" s="226">
        <v>9547</v>
      </c>
      <c r="M51" s="226" t="s">
        <v>869</v>
      </c>
      <c r="N51" s="230">
        <v>4150</v>
      </c>
      <c r="O51" s="230"/>
      <c r="Q51" s="221">
        <v>10</v>
      </c>
      <c r="R51" s="112">
        <f t="shared" si="2"/>
        <v>34.574999999999996</v>
      </c>
      <c r="S51" s="223">
        <f t="shared" si="7"/>
        <v>3284.6249999999995</v>
      </c>
      <c r="T51" s="223">
        <f t="shared" si="4"/>
        <v>865.37500000000045</v>
      </c>
      <c r="U51" s="221">
        <v>8216</v>
      </c>
      <c r="V51" s="233"/>
      <c r="W51" s="223"/>
      <c r="X51" s="196">
        <f t="shared" si="1"/>
        <v>95</v>
      </c>
    </row>
    <row r="52" spans="1:24" s="221" customFormat="1">
      <c r="A52" s="226" t="s">
        <v>2437</v>
      </c>
      <c r="B52" s="226" t="s">
        <v>2434</v>
      </c>
      <c r="C52" s="226"/>
      <c r="D52" s="226"/>
      <c r="E52" s="226"/>
      <c r="F52" s="226" t="s">
        <v>492</v>
      </c>
      <c r="G52" s="220" t="str">
        <f t="shared" si="0"/>
        <v>21/12/2007</v>
      </c>
      <c r="H52" s="242">
        <v>21</v>
      </c>
      <c r="I52" s="242">
        <v>12</v>
      </c>
      <c r="J52" s="225">
        <v>2007</v>
      </c>
      <c r="K52" s="226" t="s">
        <v>30</v>
      </c>
      <c r="L52" s="226">
        <v>150028</v>
      </c>
      <c r="M52" s="226" t="s">
        <v>869</v>
      </c>
      <c r="N52" s="168">
        <v>3285.12</v>
      </c>
      <c r="O52" s="168"/>
      <c r="Q52" s="221">
        <v>10</v>
      </c>
      <c r="R52" s="112">
        <f t="shared" si="2"/>
        <v>27.367666666666665</v>
      </c>
      <c r="S52" s="223">
        <f t="shared" si="7"/>
        <v>2079.9426666666664</v>
      </c>
      <c r="T52" s="223">
        <f t="shared" si="4"/>
        <v>1205.1773333333335</v>
      </c>
      <c r="U52" s="221">
        <v>10462</v>
      </c>
      <c r="V52" s="233"/>
      <c r="W52" s="223"/>
      <c r="X52" s="196">
        <f t="shared" si="1"/>
        <v>76</v>
      </c>
    </row>
    <row r="53" spans="1:24" s="221" customFormat="1">
      <c r="A53" s="226" t="s">
        <v>2436</v>
      </c>
      <c r="B53" s="226" t="s">
        <v>2434</v>
      </c>
      <c r="C53" s="226"/>
      <c r="D53" s="226"/>
      <c r="E53" s="226"/>
      <c r="F53" s="226" t="s">
        <v>492</v>
      </c>
      <c r="G53" s="220" t="str">
        <f t="shared" si="0"/>
        <v>21/12/2007</v>
      </c>
      <c r="H53" s="242">
        <v>21</v>
      </c>
      <c r="I53" s="242">
        <v>12</v>
      </c>
      <c r="J53" s="225">
        <v>2007</v>
      </c>
      <c r="K53" s="226" t="s">
        <v>30</v>
      </c>
      <c r="L53" s="226">
        <v>150028</v>
      </c>
      <c r="M53" s="226" t="s">
        <v>869</v>
      </c>
      <c r="N53" s="168">
        <v>3285.12</v>
      </c>
      <c r="O53" s="168"/>
      <c r="Q53" s="221">
        <v>10</v>
      </c>
      <c r="R53" s="112">
        <f t="shared" si="2"/>
        <v>27.367666666666665</v>
      </c>
      <c r="S53" s="223">
        <f t="shared" si="7"/>
        <v>2079.9426666666664</v>
      </c>
      <c r="T53" s="223">
        <f t="shared" si="4"/>
        <v>1205.1773333333335</v>
      </c>
      <c r="U53" s="221">
        <v>10462</v>
      </c>
      <c r="V53" s="233"/>
      <c r="W53" s="223"/>
      <c r="X53" s="196">
        <f t="shared" si="1"/>
        <v>76</v>
      </c>
    </row>
    <row r="54" spans="1:24" s="221" customFormat="1">
      <c r="A54" s="226" t="s">
        <v>2435</v>
      </c>
      <c r="B54" s="226" t="s">
        <v>2434</v>
      </c>
      <c r="C54" s="226"/>
      <c r="D54" s="226"/>
      <c r="E54" s="226"/>
      <c r="F54" s="226" t="s">
        <v>492</v>
      </c>
      <c r="G54" s="220" t="str">
        <f t="shared" si="0"/>
        <v>21/12/2007</v>
      </c>
      <c r="H54" s="242">
        <v>21</v>
      </c>
      <c r="I54" s="242">
        <v>12</v>
      </c>
      <c r="J54" s="225">
        <v>2007</v>
      </c>
      <c r="K54" s="226" t="s">
        <v>30</v>
      </c>
      <c r="L54" s="226">
        <v>150028</v>
      </c>
      <c r="M54" s="226" t="s">
        <v>869</v>
      </c>
      <c r="N54" s="168">
        <v>3285.12</v>
      </c>
      <c r="O54" s="168"/>
      <c r="Q54" s="221">
        <v>10</v>
      </c>
      <c r="R54" s="112">
        <f t="shared" si="2"/>
        <v>27.367666666666665</v>
      </c>
      <c r="S54" s="223">
        <f t="shared" si="7"/>
        <v>2079.9426666666664</v>
      </c>
      <c r="T54" s="223">
        <f t="shared" si="4"/>
        <v>1205.1773333333335</v>
      </c>
      <c r="U54" s="221">
        <v>10462</v>
      </c>
      <c r="V54" s="233"/>
      <c r="W54" s="223"/>
      <c r="X54" s="196">
        <f t="shared" si="1"/>
        <v>76</v>
      </c>
    </row>
    <row r="55" spans="1:24" s="221" customFormat="1">
      <c r="A55" s="226" t="s">
        <v>2433</v>
      </c>
      <c r="B55" s="226" t="s">
        <v>2432</v>
      </c>
      <c r="C55" s="226"/>
      <c r="D55" s="226"/>
      <c r="E55" s="226"/>
      <c r="F55" s="226" t="s">
        <v>492</v>
      </c>
      <c r="G55" s="220" t="str">
        <f t="shared" si="0"/>
        <v>21/12/2007</v>
      </c>
      <c r="H55" s="242">
        <v>21</v>
      </c>
      <c r="I55" s="242">
        <v>12</v>
      </c>
      <c r="J55" s="225">
        <v>2007</v>
      </c>
      <c r="K55" s="226" t="s">
        <v>30</v>
      </c>
      <c r="L55" s="226">
        <v>150028</v>
      </c>
      <c r="M55" s="226" t="s">
        <v>869</v>
      </c>
      <c r="N55" s="168">
        <v>3285.12</v>
      </c>
      <c r="O55" s="243"/>
      <c r="Q55" s="221">
        <v>10</v>
      </c>
      <c r="R55" s="112">
        <f t="shared" si="2"/>
        <v>27.367666666666665</v>
      </c>
      <c r="S55" s="223">
        <f t="shared" si="7"/>
        <v>2079.9426666666664</v>
      </c>
      <c r="T55" s="223">
        <f t="shared" si="4"/>
        <v>1205.1773333333335</v>
      </c>
      <c r="U55" s="221">
        <v>10414</v>
      </c>
      <c r="V55" s="233"/>
      <c r="W55" s="223"/>
      <c r="X55" s="196">
        <f t="shared" si="1"/>
        <v>76</v>
      </c>
    </row>
    <row r="56" spans="1:24" s="221" customFormat="1">
      <c r="A56" s="226" t="s">
        <v>2431</v>
      </c>
      <c r="B56" s="226" t="s">
        <v>2430</v>
      </c>
      <c r="C56" s="226"/>
      <c r="D56" s="226"/>
      <c r="E56" s="226"/>
      <c r="F56" s="226" t="s">
        <v>962</v>
      </c>
      <c r="G56" s="220" t="str">
        <f t="shared" si="0"/>
        <v>13/1/2004</v>
      </c>
      <c r="H56" s="242">
        <v>13</v>
      </c>
      <c r="I56" s="242">
        <v>1</v>
      </c>
      <c r="J56" s="225">
        <v>2004</v>
      </c>
      <c r="K56" s="226" t="s">
        <v>30</v>
      </c>
      <c r="L56" s="226">
        <v>32314</v>
      </c>
      <c r="M56" s="226" t="s">
        <v>869</v>
      </c>
      <c r="N56" s="252">
        <v>3866.29</v>
      </c>
      <c r="O56" s="252" t="s">
        <v>2418</v>
      </c>
      <c r="Q56" s="221">
        <v>10</v>
      </c>
      <c r="R56" s="112">
        <f t="shared" si="2"/>
        <v>32.210749999999997</v>
      </c>
      <c r="S56" s="223">
        <f t="shared" si="7"/>
        <v>3865.2899999999995</v>
      </c>
      <c r="T56" s="223">
        <f t="shared" si="4"/>
        <v>1.0000000000004547</v>
      </c>
      <c r="U56" s="221">
        <v>2885</v>
      </c>
      <c r="V56" s="233"/>
      <c r="W56" s="223"/>
      <c r="X56" s="196">
        <f t="shared" si="1"/>
        <v>120</v>
      </c>
    </row>
    <row r="57" spans="1:24" s="221" customFormat="1">
      <c r="A57" s="226" t="s">
        <v>2429</v>
      </c>
      <c r="B57" s="226" t="s">
        <v>2428</v>
      </c>
      <c r="C57" s="226"/>
      <c r="D57" s="226"/>
      <c r="E57" s="226"/>
      <c r="F57" s="226" t="s">
        <v>962</v>
      </c>
      <c r="G57" s="220" t="str">
        <f t="shared" si="0"/>
        <v>13/1/2004</v>
      </c>
      <c r="H57" s="242">
        <v>13</v>
      </c>
      <c r="I57" s="242">
        <v>1</v>
      </c>
      <c r="J57" s="225">
        <v>2004</v>
      </c>
      <c r="K57" s="226" t="s">
        <v>30</v>
      </c>
      <c r="L57" s="226">
        <v>32314</v>
      </c>
      <c r="M57" s="226" t="s">
        <v>869</v>
      </c>
      <c r="N57" s="230">
        <v>2487.65</v>
      </c>
      <c r="O57" s="230" t="s">
        <v>2427</v>
      </c>
      <c r="Q57" s="221">
        <v>10</v>
      </c>
      <c r="R57" s="112">
        <f t="shared" si="2"/>
        <v>20.722083333333334</v>
      </c>
      <c r="S57" s="223">
        <f t="shared" si="7"/>
        <v>2486.65</v>
      </c>
      <c r="T57" s="223">
        <f t="shared" si="4"/>
        <v>1</v>
      </c>
      <c r="U57" s="221">
        <v>2885</v>
      </c>
      <c r="V57" s="233"/>
      <c r="W57" s="223"/>
      <c r="X57" s="196">
        <f t="shared" si="1"/>
        <v>120</v>
      </c>
    </row>
    <row r="58" spans="1:24" s="221" customFormat="1">
      <c r="A58" s="226" t="s">
        <v>2426</v>
      </c>
      <c r="B58" s="226" t="str">
        <f>+B56</f>
        <v>Archivo Oficio duramax de 4 gavetas, color crema, p/folders</v>
      </c>
      <c r="C58" s="226"/>
      <c r="D58" s="226"/>
      <c r="E58" s="226"/>
      <c r="F58" s="226" t="s">
        <v>962</v>
      </c>
      <c r="G58" s="220" t="str">
        <f t="shared" si="0"/>
        <v>13/1/2004</v>
      </c>
      <c r="H58" s="242">
        <v>13</v>
      </c>
      <c r="I58" s="242">
        <v>1</v>
      </c>
      <c r="J58" s="225">
        <v>2004</v>
      </c>
      <c r="K58" s="226" t="s">
        <v>30</v>
      </c>
      <c r="L58" s="226">
        <v>32314</v>
      </c>
      <c r="M58" s="226" t="s">
        <v>869</v>
      </c>
      <c r="N58" s="230">
        <v>2487.65</v>
      </c>
      <c r="O58" s="230" t="s">
        <v>1930</v>
      </c>
      <c r="Q58" s="221">
        <v>10</v>
      </c>
      <c r="R58" s="112">
        <f t="shared" si="2"/>
        <v>20.722083333333334</v>
      </c>
      <c r="S58" s="223">
        <f t="shared" si="7"/>
        <v>2486.65</v>
      </c>
      <c r="T58" s="223">
        <f t="shared" si="4"/>
        <v>1</v>
      </c>
      <c r="U58" s="221">
        <v>2885</v>
      </c>
      <c r="V58" s="233"/>
      <c r="W58" s="223"/>
      <c r="X58" s="196">
        <f t="shared" si="1"/>
        <v>120</v>
      </c>
    </row>
    <row r="59" spans="1:24" s="221" customFormat="1">
      <c r="A59" s="226" t="s">
        <v>2425</v>
      </c>
      <c r="B59" s="226" t="s">
        <v>2424</v>
      </c>
      <c r="C59" s="226"/>
      <c r="D59" s="226"/>
      <c r="E59" s="226"/>
      <c r="F59" s="226" t="s">
        <v>1972</v>
      </c>
      <c r="G59" s="220" t="str">
        <f t="shared" si="0"/>
        <v>27/5/2003</v>
      </c>
      <c r="H59" s="242">
        <v>27</v>
      </c>
      <c r="I59" s="242">
        <v>5</v>
      </c>
      <c r="J59" s="225">
        <v>2003</v>
      </c>
      <c r="K59" s="226" t="s">
        <v>30</v>
      </c>
      <c r="L59" s="226">
        <v>29026</v>
      </c>
      <c r="M59" s="226" t="s">
        <v>869</v>
      </c>
      <c r="N59" s="230">
        <v>2284.8000000000002</v>
      </c>
      <c r="O59" s="230"/>
      <c r="Q59" s="221">
        <v>10</v>
      </c>
      <c r="R59" s="112">
        <f t="shared" si="2"/>
        <v>19.03166666666667</v>
      </c>
      <c r="S59" s="223">
        <f t="shared" si="7"/>
        <v>2283.8000000000002</v>
      </c>
      <c r="T59" s="223">
        <f t="shared" si="4"/>
        <v>1</v>
      </c>
      <c r="U59" s="221">
        <v>1361</v>
      </c>
      <c r="V59" s="233"/>
      <c r="W59" s="223"/>
      <c r="X59" s="196">
        <f t="shared" si="1"/>
        <v>120</v>
      </c>
    </row>
    <row r="60" spans="1:24" s="221" customFormat="1">
      <c r="A60" s="226" t="s">
        <v>2423</v>
      </c>
      <c r="B60" s="206" t="s">
        <v>2422</v>
      </c>
      <c r="C60" s="226"/>
      <c r="D60" s="226" t="s">
        <v>2421</v>
      </c>
      <c r="E60" s="226"/>
      <c r="F60" s="226"/>
      <c r="G60" s="220" t="str">
        <f t="shared" si="0"/>
        <v>//</v>
      </c>
      <c r="H60" s="242"/>
      <c r="I60" s="242"/>
      <c r="J60" s="225"/>
      <c r="K60" s="226"/>
      <c r="L60" s="226"/>
      <c r="M60" s="226" t="s">
        <v>869</v>
      </c>
      <c r="N60" s="230">
        <v>1</v>
      </c>
      <c r="O60" s="230" t="s">
        <v>301</v>
      </c>
      <c r="Q60" s="221">
        <v>10</v>
      </c>
      <c r="R60" s="112">
        <f t="shared" si="2"/>
        <v>0</v>
      </c>
      <c r="S60" s="223">
        <v>0</v>
      </c>
      <c r="T60" s="223">
        <f t="shared" si="4"/>
        <v>1</v>
      </c>
      <c r="V60" s="233"/>
      <c r="W60" s="223"/>
      <c r="X60" s="196" t="e">
        <f t="shared" si="1"/>
        <v>#VALUE!</v>
      </c>
    </row>
    <row r="61" spans="1:24" s="221" customFormat="1">
      <c r="A61" s="226" t="s">
        <v>2420</v>
      </c>
      <c r="B61" s="226" t="s">
        <v>2419</v>
      </c>
      <c r="C61" s="226"/>
      <c r="D61" s="226" t="s">
        <v>2396</v>
      </c>
      <c r="E61" s="226"/>
      <c r="F61" s="226" t="s">
        <v>1972</v>
      </c>
      <c r="G61" s="220" t="str">
        <f t="shared" si="0"/>
        <v>25/4/2003</v>
      </c>
      <c r="H61" s="242">
        <v>25</v>
      </c>
      <c r="I61" s="242">
        <v>4</v>
      </c>
      <c r="J61" s="225">
        <v>2003</v>
      </c>
      <c r="K61" s="226" t="s">
        <v>30</v>
      </c>
      <c r="L61" s="226">
        <v>28502</v>
      </c>
      <c r="M61" s="226" t="s">
        <v>869</v>
      </c>
      <c r="N61" s="230">
        <v>3379.6</v>
      </c>
      <c r="O61" s="230" t="s">
        <v>2418</v>
      </c>
      <c r="Q61" s="221">
        <v>10</v>
      </c>
      <c r="R61" s="112">
        <f t="shared" si="2"/>
        <v>28.155000000000001</v>
      </c>
      <c r="S61" s="223">
        <f>X61*R61</f>
        <v>3378.6000000000004</v>
      </c>
      <c r="T61" s="223">
        <f t="shared" si="4"/>
        <v>0.99999999999954525</v>
      </c>
      <c r="U61" s="221">
        <v>1254</v>
      </c>
      <c r="V61" s="233"/>
      <c r="W61" s="223"/>
      <c r="X61" s="196">
        <f t="shared" si="1"/>
        <v>120</v>
      </c>
    </row>
    <row r="62" spans="1:24" s="221" customFormat="1" ht="31.5">
      <c r="A62" s="226" t="s">
        <v>2417</v>
      </c>
      <c r="B62" s="226" t="s">
        <v>2413</v>
      </c>
      <c r="C62" s="226"/>
      <c r="D62" s="264" t="s">
        <v>2416</v>
      </c>
      <c r="E62" s="226"/>
      <c r="F62" s="226" t="s">
        <v>2411</v>
      </c>
      <c r="G62" s="220" t="str">
        <f t="shared" si="0"/>
        <v>12/8/2004</v>
      </c>
      <c r="H62" s="242">
        <v>12</v>
      </c>
      <c r="I62" s="242">
        <v>8</v>
      </c>
      <c r="J62" s="225">
        <v>2004</v>
      </c>
      <c r="K62" s="226" t="s">
        <v>2410</v>
      </c>
      <c r="L62" s="226">
        <v>1118</v>
      </c>
      <c r="M62" s="226" t="s">
        <v>869</v>
      </c>
      <c r="N62" s="230">
        <v>14245</v>
      </c>
      <c r="O62" s="199" t="s">
        <v>2415</v>
      </c>
      <c r="Q62" s="221">
        <v>10</v>
      </c>
      <c r="R62" s="112">
        <f t="shared" si="2"/>
        <v>118.7</v>
      </c>
      <c r="S62" s="223">
        <f>X62*R62</f>
        <v>13769.2</v>
      </c>
      <c r="T62" s="223">
        <f t="shared" si="4"/>
        <v>475.79999999999927</v>
      </c>
      <c r="U62" s="221">
        <v>4724</v>
      </c>
      <c r="V62" s="233"/>
      <c r="W62" s="223"/>
      <c r="X62" s="196">
        <f t="shared" si="1"/>
        <v>116</v>
      </c>
    </row>
    <row r="63" spans="1:24" s="221" customFormat="1">
      <c r="A63" s="226" t="s">
        <v>2414</v>
      </c>
      <c r="B63" s="226" t="s">
        <v>2413</v>
      </c>
      <c r="C63" s="226"/>
      <c r="D63" s="264" t="s">
        <v>2412</v>
      </c>
      <c r="E63" s="226"/>
      <c r="F63" s="226" t="s">
        <v>2411</v>
      </c>
      <c r="G63" s="220" t="str">
        <f t="shared" si="0"/>
        <v>12/8/2004</v>
      </c>
      <c r="H63" s="242">
        <v>12</v>
      </c>
      <c r="I63" s="242">
        <v>8</v>
      </c>
      <c r="J63" s="225">
        <v>2004</v>
      </c>
      <c r="K63" s="226" t="s">
        <v>2410</v>
      </c>
      <c r="L63" s="226">
        <v>1118</v>
      </c>
      <c r="M63" s="226" t="s">
        <v>869</v>
      </c>
      <c r="N63" s="230">
        <v>6105</v>
      </c>
      <c r="O63" s="230"/>
      <c r="Q63" s="221">
        <v>10</v>
      </c>
      <c r="R63" s="112">
        <f t="shared" si="2"/>
        <v>50.866666666666667</v>
      </c>
      <c r="S63" s="223">
        <f>X63*R63</f>
        <v>5900.5333333333338</v>
      </c>
      <c r="T63" s="223">
        <f t="shared" si="4"/>
        <v>204.46666666666624</v>
      </c>
      <c r="U63" s="221">
        <v>4724</v>
      </c>
      <c r="V63" s="233"/>
      <c r="W63" s="223"/>
      <c r="X63" s="196">
        <f t="shared" si="1"/>
        <v>116</v>
      </c>
    </row>
    <row r="64" spans="1:24" s="221" customFormat="1">
      <c r="A64" s="226" t="s">
        <v>2409</v>
      </c>
      <c r="B64" s="226" t="s">
        <v>2406</v>
      </c>
      <c r="C64" s="226"/>
      <c r="D64" s="264" t="s">
        <v>2405</v>
      </c>
      <c r="E64" s="226"/>
      <c r="F64" s="226"/>
      <c r="G64" s="220" t="str">
        <f t="shared" si="0"/>
        <v>//</v>
      </c>
      <c r="H64" s="242"/>
      <c r="I64" s="242"/>
      <c r="J64" s="225"/>
      <c r="K64" s="226"/>
      <c r="L64" s="226"/>
      <c r="M64" s="226" t="s">
        <v>869</v>
      </c>
      <c r="N64" s="230">
        <v>1</v>
      </c>
      <c r="O64" s="230"/>
      <c r="Q64" s="221">
        <v>10</v>
      </c>
      <c r="R64" s="112">
        <f t="shared" si="2"/>
        <v>0</v>
      </c>
      <c r="S64" s="223">
        <v>0</v>
      </c>
      <c r="T64" s="223">
        <f t="shared" si="4"/>
        <v>1</v>
      </c>
      <c r="V64" s="233"/>
      <c r="W64" s="223"/>
      <c r="X64" s="196" t="e">
        <f t="shared" si="1"/>
        <v>#VALUE!</v>
      </c>
    </row>
    <row r="65" spans="1:24" s="221" customFormat="1">
      <c r="A65" s="226" t="s">
        <v>2408</v>
      </c>
      <c r="B65" s="226" t="s">
        <v>2406</v>
      </c>
      <c r="C65" s="226"/>
      <c r="D65" s="264" t="s">
        <v>2405</v>
      </c>
      <c r="E65" s="226"/>
      <c r="F65" s="226"/>
      <c r="G65" s="220" t="str">
        <f t="shared" si="0"/>
        <v>//</v>
      </c>
      <c r="H65" s="242"/>
      <c r="I65" s="242"/>
      <c r="J65" s="225"/>
      <c r="K65" s="226"/>
      <c r="L65" s="226"/>
      <c r="M65" s="226" t="s">
        <v>869</v>
      </c>
      <c r="N65" s="230">
        <v>1</v>
      </c>
      <c r="O65" s="230"/>
      <c r="Q65" s="221">
        <v>10</v>
      </c>
      <c r="R65" s="112">
        <f t="shared" si="2"/>
        <v>0</v>
      </c>
      <c r="S65" s="223">
        <v>0</v>
      </c>
      <c r="T65" s="223">
        <f t="shared" si="4"/>
        <v>1</v>
      </c>
      <c r="V65" s="233"/>
      <c r="W65" s="223"/>
      <c r="X65" s="196" t="e">
        <f t="shared" si="1"/>
        <v>#VALUE!</v>
      </c>
    </row>
    <row r="66" spans="1:24" s="221" customFormat="1">
      <c r="A66" s="226" t="s">
        <v>2407</v>
      </c>
      <c r="B66" s="226" t="s">
        <v>2406</v>
      </c>
      <c r="C66" s="226"/>
      <c r="D66" s="264" t="s">
        <v>2405</v>
      </c>
      <c r="E66" s="226"/>
      <c r="F66" s="226"/>
      <c r="G66" s="220" t="str">
        <f t="shared" si="0"/>
        <v>//</v>
      </c>
      <c r="H66" s="242"/>
      <c r="I66" s="242"/>
      <c r="J66" s="225"/>
      <c r="K66" s="226"/>
      <c r="L66" s="226"/>
      <c r="M66" s="226" t="s">
        <v>869</v>
      </c>
      <c r="N66" s="230">
        <v>1</v>
      </c>
      <c r="O66" s="230"/>
      <c r="Q66" s="221">
        <v>10</v>
      </c>
      <c r="R66" s="112">
        <f t="shared" si="2"/>
        <v>0</v>
      </c>
      <c r="S66" s="223">
        <v>0</v>
      </c>
      <c r="T66" s="223">
        <f t="shared" si="4"/>
        <v>1</v>
      </c>
      <c r="V66" s="233"/>
      <c r="W66" s="223"/>
      <c r="X66" s="196" t="e">
        <f t="shared" si="1"/>
        <v>#VALUE!</v>
      </c>
    </row>
    <row r="67" spans="1:24" s="221" customFormat="1">
      <c r="A67" s="226" t="s">
        <v>2404</v>
      </c>
      <c r="B67" s="226" t="s">
        <v>2403</v>
      </c>
      <c r="C67" s="226"/>
      <c r="D67" s="226"/>
      <c r="E67" s="226"/>
      <c r="F67" s="226" t="s">
        <v>962</v>
      </c>
      <c r="G67" s="220" t="str">
        <f t="shared" si="0"/>
        <v>20/12/2006</v>
      </c>
      <c r="H67" s="242">
        <v>20</v>
      </c>
      <c r="I67" s="242">
        <v>12</v>
      </c>
      <c r="J67" s="225">
        <v>2006</v>
      </c>
      <c r="K67" s="226" t="s">
        <v>1510</v>
      </c>
      <c r="L67" s="226">
        <v>1721</v>
      </c>
      <c r="M67" s="226" t="s">
        <v>869</v>
      </c>
      <c r="N67" s="230">
        <v>4649.46</v>
      </c>
      <c r="O67" s="230"/>
      <c r="Q67" s="221">
        <v>10</v>
      </c>
      <c r="R67" s="112">
        <f t="shared" si="2"/>
        <v>38.737166666666667</v>
      </c>
      <c r="S67" s="223">
        <f t="shared" ref="S67:S75" si="8">X67*R67</f>
        <v>3408.8706666666667</v>
      </c>
      <c r="T67" s="223">
        <f t="shared" si="4"/>
        <v>1240.5893333333333</v>
      </c>
      <c r="U67" s="221">
        <v>9059</v>
      </c>
      <c r="V67" s="233"/>
      <c r="W67" s="223"/>
      <c r="X67" s="196">
        <f t="shared" si="1"/>
        <v>88</v>
      </c>
    </row>
    <row r="68" spans="1:24" s="221" customFormat="1">
      <c r="A68" s="226" t="s">
        <v>2402</v>
      </c>
      <c r="B68" s="226" t="s">
        <v>2401</v>
      </c>
      <c r="C68" s="226"/>
      <c r="D68" s="226"/>
      <c r="E68" s="226"/>
      <c r="F68" s="226" t="s">
        <v>1720</v>
      </c>
      <c r="G68" s="220" t="str">
        <f t="shared" si="0"/>
        <v>13/1/2005</v>
      </c>
      <c r="H68" s="242">
        <v>13</v>
      </c>
      <c r="I68" s="242">
        <v>1</v>
      </c>
      <c r="J68" s="225">
        <v>2005</v>
      </c>
      <c r="K68" s="226" t="s">
        <v>30</v>
      </c>
      <c r="L68" s="226">
        <v>2591</v>
      </c>
      <c r="M68" s="226" t="s">
        <v>869</v>
      </c>
      <c r="N68" s="230">
        <v>8537.6</v>
      </c>
      <c r="O68" s="230"/>
      <c r="Q68" s="221">
        <v>10</v>
      </c>
      <c r="R68" s="112">
        <f t="shared" si="2"/>
        <v>71.138333333333335</v>
      </c>
      <c r="S68" s="223">
        <f t="shared" si="8"/>
        <v>7896.3550000000005</v>
      </c>
      <c r="T68" s="223">
        <f t="shared" si="4"/>
        <v>641.24499999999989</v>
      </c>
      <c r="U68" s="221">
        <v>5603</v>
      </c>
      <c r="V68" s="233"/>
      <c r="W68" s="223"/>
      <c r="X68" s="196">
        <f t="shared" si="1"/>
        <v>111</v>
      </c>
    </row>
    <row r="69" spans="1:24" s="221" customFormat="1">
      <c r="A69" s="226" t="s">
        <v>2400</v>
      </c>
      <c r="B69" s="226" t="s">
        <v>2399</v>
      </c>
      <c r="C69" s="226"/>
      <c r="D69" s="226"/>
      <c r="E69" s="226"/>
      <c r="F69" s="226" t="s">
        <v>1720</v>
      </c>
      <c r="G69" s="220" t="str">
        <f t="shared" si="0"/>
        <v>2/4/2005</v>
      </c>
      <c r="H69" s="242">
        <v>2</v>
      </c>
      <c r="I69" s="242">
        <v>4</v>
      </c>
      <c r="J69" s="225">
        <v>2005</v>
      </c>
      <c r="K69" s="226" t="s">
        <v>30</v>
      </c>
      <c r="L69" s="226">
        <v>5886</v>
      </c>
      <c r="M69" s="226" t="s">
        <v>869</v>
      </c>
      <c r="N69" s="230">
        <v>8537.6</v>
      </c>
      <c r="O69" s="230" t="s">
        <v>1940</v>
      </c>
      <c r="Q69" s="221">
        <v>10</v>
      </c>
      <c r="R69" s="112">
        <f t="shared" si="2"/>
        <v>71.138333333333335</v>
      </c>
      <c r="S69" s="223">
        <f t="shared" si="8"/>
        <v>7682.9400000000005</v>
      </c>
      <c r="T69" s="223">
        <f t="shared" si="4"/>
        <v>854.65999999999985</v>
      </c>
      <c r="U69" s="221">
        <v>5838</v>
      </c>
      <c r="V69" s="233"/>
      <c r="W69" s="223"/>
      <c r="X69" s="196">
        <f t="shared" si="1"/>
        <v>108</v>
      </c>
    </row>
    <row r="70" spans="1:24" s="221" customFormat="1">
      <c r="A70" s="226" t="s">
        <v>2398</v>
      </c>
      <c r="B70" s="226" t="s">
        <v>2397</v>
      </c>
      <c r="C70" s="226"/>
      <c r="D70" s="226" t="s">
        <v>2396</v>
      </c>
      <c r="E70" s="226"/>
      <c r="F70" s="226" t="s">
        <v>2395</v>
      </c>
      <c r="G70" s="220" t="str">
        <f t="shared" si="0"/>
        <v>15/5/2004</v>
      </c>
      <c r="H70" s="242">
        <v>15</v>
      </c>
      <c r="I70" s="242">
        <v>5</v>
      </c>
      <c r="J70" s="225">
        <v>2004</v>
      </c>
      <c r="K70" s="226" t="s">
        <v>30</v>
      </c>
      <c r="L70" s="226">
        <v>5606</v>
      </c>
      <c r="M70" s="226" t="s">
        <v>869</v>
      </c>
      <c r="N70" s="230">
        <v>7905</v>
      </c>
      <c r="O70" s="230" t="s">
        <v>1420</v>
      </c>
      <c r="Q70" s="221">
        <v>10</v>
      </c>
      <c r="R70" s="112">
        <f t="shared" si="2"/>
        <v>65.86666666666666</v>
      </c>
      <c r="S70" s="223">
        <f t="shared" si="8"/>
        <v>7838.1333333333323</v>
      </c>
      <c r="T70" s="223">
        <f t="shared" si="4"/>
        <v>66.866666666667697</v>
      </c>
      <c r="U70" s="221">
        <v>4076</v>
      </c>
      <c r="V70" s="233"/>
      <c r="W70" s="223"/>
      <c r="X70" s="196">
        <f t="shared" si="1"/>
        <v>119</v>
      </c>
    </row>
    <row r="71" spans="1:24" s="221" customFormat="1">
      <c r="A71" s="226" t="s">
        <v>2394</v>
      </c>
      <c r="B71" s="226" t="s">
        <v>2391</v>
      </c>
      <c r="C71" s="226"/>
      <c r="D71" s="226"/>
      <c r="E71" s="226"/>
      <c r="F71" s="226" t="s">
        <v>1972</v>
      </c>
      <c r="G71" s="220" t="str">
        <f t="shared" ref="G71:G134" si="9">CONCATENATE(H71,"/",I71,"/",J71,)</f>
        <v>25/3/2003</v>
      </c>
      <c r="H71" s="242">
        <v>25</v>
      </c>
      <c r="I71" s="242">
        <v>3</v>
      </c>
      <c r="J71" s="225">
        <v>2003</v>
      </c>
      <c r="K71" s="226" t="s">
        <v>30</v>
      </c>
      <c r="L71" s="226">
        <v>27997</v>
      </c>
      <c r="M71" s="226" t="s">
        <v>869</v>
      </c>
      <c r="N71" s="230">
        <v>3379.6</v>
      </c>
      <c r="O71" s="230" t="s">
        <v>2393</v>
      </c>
      <c r="Q71" s="221">
        <v>10</v>
      </c>
      <c r="R71" s="112">
        <f t="shared" si="2"/>
        <v>28.155000000000001</v>
      </c>
      <c r="S71" s="223">
        <f t="shared" si="8"/>
        <v>3378.6000000000004</v>
      </c>
      <c r="T71" s="223">
        <f t="shared" si="4"/>
        <v>0.99999999999954525</v>
      </c>
      <c r="U71" s="221">
        <v>1151</v>
      </c>
      <c r="V71" s="233"/>
      <c r="W71" s="223"/>
      <c r="X71" s="196">
        <f t="shared" ref="X71:X134" si="10">IF((DATEDIF(G71,X$4,"m"))&gt;=120,120,(DATEDIF(G71,X$4,"m")))</f>
        <v>120</v>
      </c>
    </row>
    <row r="72" spans="1:24" s="221" customFormat="1">
      <c r="A72" s="226" t="s">
        <v>2392</v>
      </c>
      <c r="B72" s="226" t="s">
        <v>2391</v>
      </c>
      <c r="C72" s="226"/>
      <c r="D72" s="226"/>
      <c r="E72" s="226"/>
      <c r="F72" s="226" t="s">
        <v>1972</v>
      </c>
      <c r="G72" s="220" t="str">
        <f t="shared" si="9"/>
        <v>25/3/2003</v>
      </c>
      <c r="H72" s="242">
        <v>25</v>
      </c>
      <c r="I72" s="242">
        <v>3</v>
      </c>
      <c r="J72" s="225">
        <v>2003</v>
      </c>
      <c r="K72" s="226" t="s">
        <v>30</v>
      </c>
      <c r="L72" s="226">
        <v>27997</v>
      </c>
      <c r="M72" s="226" t="s">
        <v>869</v>
      </c>
      <c r="N72" s="168">
        <v>3379.6</v>
      </c>
      <c r="O72" s="243" t="s">
        <v>161</v>
      </c>
      <c r="Q72" s="221">
        <v>10</v>
      </c>
      <c r="R72" s="112">
        <f t="shared" ref="R72:R136" si="11">(((N72)-1)/10)/12</f>
        <v>28.155000000000001</v>
      </c>
      <c r="S72" s="223">
        <f t="shared" si="8"/>
        <v>3378.6000000000004</v>
      </c>
      <c r="T72" s="223">
        <f t="shared" si="4"/>
        <v>0.99999999999954525</v>
      </c>
      <c r="U72" s="221">
        <v>1151</v>
      </c>
      <c r="V72" s="233"/>
      <c r="W72" s="223"/>
      <c r="X72" s="196">
        <f t="shared" si="10"/>
        <v>120</v>
      </c>
    </row>
    <row r="73" spans="1:24" s="221" customFormat="1">
      <c r="A73" s="226" t="s">
        <v>2390</v>
      </c>
      <c r="B73" s="226" t="s">
        <v>2386</v>
      </c>
      <c r="C73" s="226"/>
      <c r="D73" s="226" t="s">
        <v>2389</v>
      </c>
      <c r="E73" s="226"/>
      <c r="F73" s="226" t="s">
        <v>1972</v>
      </c>
      <c r="G73" s="220" t="str">
        <f t="shared" si="9"/>
        <v>20/2/2003</v>
      </c>
      <c r="H73" s="242">
        <v>20</v>
      </c>
      <c r="I73" s="242">
        <v>2</v>
      </c>
      <c r="J73" s="225">
        <v>2003</v>
      </c>
      <c r="K73" s="226" t="s">
        <v>30</v>
      </c>
      <c r="L73" s="226">
        <v>27455</v>
      </c>
      <c r="M73" s="226" t="s">
        <v>869</v>
      </c>
      <c r="N73" s="230">
        <v>3180.8</v>
      </c>
      <c r="O73" s="230" t="s">
        <v>2388</v>
      </c>
      <c r="Q73" s="221">
        <v>10</v>
      </c>
      <c r="R73" s="112">
        <f t="shared" si="11"/>
        <v>26.498333333333335</v>
      </c>
      <c r="S73" s="223">
        <f t="shared" si="8"/>
        <v>3179.8</v>
      </c>
      <c r="T73" s="223">
        <f t="shared" si="4"/>
        <v>1</v>
      </c>
      <c r="U73" s="221">
        <v>1008</v>
      </c>
      <c r="V73" s="233"/>
      <c r="W73" s="223"/>
      <c r="X73" s="196">
        <f t="shared" si="10"/>
        <v>120</v>
      </c>
    </row>
    <row r="74" spans="1:24" s="221" customFormat="1">
      <c r="A74" s="226" t="s">
        <v>2387</v>
      </c>
      <c r="B74" s="226" t="s">
        <v>2386</v>
      </c>
      <c r="C74" s="226"/>
      <c r="D74" s="226"/>
      <c r="E74" s="226"/>
      <c r="F74" s="226" t="s">
        <v>1972</v>
      </c>
      <c r="G74" s="220" t="str">
        <f t="shared" si="9"/>
        <v>2/12/2003</v>
      </c>
      <c r="H74" s="242">
        <v>2</v>
      </c>
      <c r="I74" s="242">
        <v>12</v>
      </c>
      <c r="J74" s="225">
        <v>2003</v>
      </c>
      <c r="K74" s="226" t="s">
        <v>30</v>
      </c>
      <c r="L74" s="226">
        <v>27307</v>
      </c>
      <c r="M74" s="226" t="s">
        <v>869</v>
      </c>
      <c r="N74" s="230">
        <v>2963.97</v>
      </c>
      <c r="O74" s="230"/>
      <c r="Q74" s="221">
        <v>10</v>
      </c>
      <c r="R74" s="112">
        <f t="shared" si="11"/>
        <v>24.691416666666665</v>
      </c>
      <c r="S74" s="223">
        <f t="shared" si="8"/>
        <v>2962.97</v>
      </c>
      <c r="T74" s="223">
        <f t="shared" ref="T74:T137" si="12">N74-S74</f>
        <v>1</v>
      </c>
      <c r="U74" s="221">
        <v>988</v>
      </c>
      <c r="V74" s="233"/>
      <c r="W74" s="223"/>
      <c r="X74" s="196">
        <f t="shared" si="10"/>
        <v>120</v>
      </c>
    </row>
    <row r="75" spans="1:24" s="221" customFormat="1">
      <c r="A75" s="226" t="s">
        <v>2385</v>
      </c>
      <c r="B75" s="226" t="s">
        <v>2384</v>
      </c>
      <c r="C75" s="226"/>
      <c r="D75" s="226"/>
      <c r="E75" s="226"/>
      <c r="F75" s="226" t="s">
        <v>1972</v>
      </c>
      <c r="G75" s="220" t="str">
        <f t="shared" si="9"/>
        <v>22/5/2003</v>
      </c>
      <c r="H75" s="242">
        <v>22</v>
      </c>
      <c r="I75" s="242">
        <v>5</v>
      </c>
      <c r="J75" s="225">
        <v>2003</v>
      </c>
      <c r="K75" s="226" t="s">
        <v>30</v>
      </c>
      <c r="L75" s="226">
        <v>28960</v>
      </c>
      <c r="M75" s="226" t="s">
        <v>869</v>
      </c>
      <c r="N75" s="230">
        <v>3379.6</v>
      </c>
      <c r="O75" s="230" t="s">
        <v>1125</v>
      </c>
      <c r="Q75" s="221">
        <v>10</v>
      </c>
      <c r="R75" s="112">
        <f t="shared" si="11"/>
        <v>28.155000000000001</v>
      </c>
      <c r="S75" s="223">
        <f t="shared" si="8"/>
        <v>3378.6000000000004</v>
      </c>
      <c r="T75" s="223">
        <f t="shared" si="12"/>
        <v>0.99999999999954525</v>
      </c>
      <c r="U75" s="221">
        <v>1357</v>
      </c>
      <c r="V75" s="233"/>
      <c r="W75" s="223"/>
      <c r="X75" s="196">
        <f t="shared" si="10"/>
        <v>120</v>
      </c>
    </row>
    <row r="76" spans="1:24" s="221" customFormat="1">
      <c r="A76" s="226" t="s">
        <v>2383</v>
      </c>
      <c r="B76" s="206" t="s">
        <v>2382</v>
      </c>
      <c r="C76" s="226"/>
      <c r="D76" s="226"/>
      <c r="E76" s="226"/>
      <c r="F76" s="226"/>
      <c r="G76" s="220" t="str">
        <f t="shared" si="9"/>
        <v>//</v>
      </c>
      <c r="H76" s="242"/>
      <c r="I76" s="242"/>
      <c r="J76" s="225"/>
      <c r="K76" s="226"/>
      <c r="L76" s="226"/>
      <c r="M76" s="226" t="s">
        <v>869</v>
      </c>
      <c r="N76" s="230">
        <v>1</v>
      </c>
      <c r="O76" s="230" t="s">
        <v>2381</v>
      </c>
      <c r="Q76" s="221">
        <v>5</v>
      </c>
      <c r="R76" s="112">
        <f t="shared" si="11"/>
        <v>0</v>
      </c>
      <c r="S76" s="223">
        <v>0</v>
      </c>
      <c r="T76" s="223">
        <f t="shared" si="12"/>
        <v>1</v>
      </c>
      <c r="V76" s="233"/>
      <c r="W76" s="223"/>
      <c r="X76" s="196" t="e">
        <f t="shared" si="10"/>
        <v>#VALUE!</v>
      </c>
    </row>
    <row r="77" spans="1:24" s="221" customFormat="1">
      <c r="A77" s="226" t="s">
        <v>2380</v>
      </c>
      <c r="B77" s="206" t="s">
        <v>2379</v>
      </c>
      <c r="C77" s="226"/>
      <c r="D77" s="226"/>
      <c r="E77" s="226"/>
      <c r="F77" s="226"/>
      <c r="G77" s="220" t="str">
        <f t="shared" si="9"/>
        <v>//</v>
      </c>
      <c r="H77" s="242"/>
      <c r="I77" s="242"/>
      <c r="J77" s="225"/>
      <c r="K77" s="226"/>
      <c r="L77" s="226"/>
      <c r="M77" s="226" t="s">
        <v>869</v>
      </c>
      <c r="N77" s="230">
        <v>1</v>
      </c>
      <c r="O77" s="230"/>
      <c r="Q77" s="221">
        <v>5</v>
      </c>
      <c r="R77" s="112">
        <f t="shared" si="11"/>
        <v>0</v>
      </c>
      <c r="S77" s="223">
        <v>0</v>
      </c>
      <c r="T77" s="223">
        <f t="shared" si="12"/>
        <v>1</v>
      </c>
      <c r="V77" s="233"/>
      <c r="W77" s="223"/>
      <c r="X77" s="196" t="e">
        <f t="shared" si="10"/>
        <v>#VALUE!</v>
      </c>
    </row>
    <row r="78" spans="1:24" s="221" customFormat="1">
      <c r="A78" s="226" t="s">
        <v>2378</v>
      </c>
      <c r="B78" s="226" t="s">
        <v>2376</v>
      </c>
      <c r="C78" s="226"/>
      <c r="D78" s="226"/>
      <c r="E78" s="226"/>
      <c r="F78" s="226"/>
      <c r="G78" s="220" t="str">
        <f t="shared" si="9"/>
        <v>//</v>
      </c>
      <c r="H78" s="242"/>
      <c r="I78" s="242"/>
      <c r="J78" s="225"/>
      <c r="K78" s="226"/>
      <c r="L78" s="225"/>
      <c r="M78" s="226" t="s">
        <v>869</v>
      </c>
      <c r="N78" s="230">
        <v>1</v>
      </c>
      <c r="O78" s="230"/>
      <c r="Q78" s="221">
        <v>10</v>
      </c>
      <c r="R78" s="112">
        <f t="shared" si="11"/>
        <v>0</v>
      </c>
      <c r="S78" s="223">
        <v>0</v>
      </c>
      <c r="T78" s="223">
        <f t="shared" si="12"/>
        <v>1</v>
      </c>
      <c r="V78" s="233"/>
      <c r="W78" s="223"/>
      <c r="X78" s="196" t="e">
        <f t="shared" si="10"/>
        <v>#VALUE!</v>
      </c>
    </row>
    <row r="79" spans="1:24" s="221" customFormat="1">
      <c r="A79" s="226" t="s">
        <v>2377</v>
      </c>
      <c r="B79" s="226" t="s">
        <v>2376</v>
      </c>
      <c r="C79" s="226"/>
      <c r="D79" s="226"/>
      <c r="E79" s="226"/>
      <c r="F79" s="226"/>
      <c r="G79" s="220" t="str">
        <f t="shared" si="9"/>
        <v>//</v>
      </c>
      <c r="H79" s="242"/>
      <c r="I79" s="242"/>
      <c r="J79" s="225"/>
      <c r="K79" s="226"/>
      <c r="L79" s="225"/>
      <c r="M79" s="226" t="s">
        <v>869</v>
      </c>
      <c r="N79" s="230">
        <v>1</v>
      </c>
      <c r="O79" s="230"/>
      <c r="Q79" s="221">
        <v>10</v>
      </c>
      <c r="R79" s="112">
        <f t="shared" si="11"/>
        <v>0</v>
      </c>
      <c r="S79" s="223">
        <v>0</v>
      </c>
      <c r="T79" s="223">
        <f t="shared" si="12"/>
        <v>1</v>
      </c>
      <c r="V79" s="233"/>
      <c r="W79" s="223"/>
      <c r="X79" s="196" t="e">
        <f t="shared" si="10"/>
        <v>#VALUE!</v>
      </c>
    </row>
    <row r="80" spans="1:24" s="221" customFormat="1">
      <c r="A80" s="226" t="s">
        <v>2375</v>
      </c>
      <c r="B80" s="226" t="s">
        <v>2374</v>
      </c>
      <c r="C80" s="226"/>
      <c r="D80" s="226">
        <f>+D79</f>
        <v>0</v>
      </c>
      <c r="E80" s="226"/>
      <c r="F80" s="226" t="s">
        <v>1732</v>
      </c>
      <c r="G80" s="220" t="str">
        <f t="shared" si="9"/>
        <v>29/10/2003</v>
      </c>
      <c r="H80" s="242">
        <v>29</v>
      </c>
      <c r="I80" s="242">
        <v>10</v>
      </c>
      <c r="J80" s="225">
        <v>2003</v>
      </c>
      <c r="K80" s="226" t="s">
        <v>1510</v>
      </c>
      <c r="L80" s="226">
        <v>626</v>
      </c>
      <c r="M80" s="226" t="s">
        <v>869</v>
      </c>
      <c r="N80" s="230">
        <v>17237</v>
      </c>
      <c r="O80" s="230"/>
      <c r="Q80" s="221">
        <v>10</v>
      </c>
      <c r="R80" s="112">
        <f t="shared" si="11"/>
        <v>143.63333333333333</v>
      </c>
      <c r="S80" s="223">
        <f>X80*R80</f>
        <v>17236</v>
      </c>
      <c r="T80" s="223">
        <f t="shared" si="12"/>
        <v>1</v>
      </c>
      <c r="U80" s="221">
        <v>2350</v>
      </c>
      <c r="V80" s="233"/>
      <c r="W80" s="223"/>
      <c r="X80" s="196">
        <f t="shared" si="10"/>
        <v>120</v>
      </c>
    </row>
    <row r="81" spans="1:24" s="221" customFormat="1">
      <c r="A81" s="226" t="s">
        <v>2373</v>
      </c>
      <c r="B81" s="226" t="s">
        <v>2372</v>
      </c>
      <c r="C81" s="226"/>
      <c r="D81" s="226"/>
      <c r="E81" s="226"/>
      <c r="F81" s="226"/>
      <c r="G81" s="220" t="str">
        <f t="shared" si="9"/>
        <v>//</v>
      </c>
      <c r="H81" s="242"/>
      <c r="I81" s="242"/>
      <c r="J81" s="225"/>
      <c r="K81" s="226"/>
      <c r="L81" s="225"/>
      <c r="M81" s="226" t="s">
        <v>869</v>
      </c>
      <c r="N81" s="230">
        <v>1</v>
      </c>
      <c r="O81" s="230" t="s">
        <v>761</v>
      </c>
      <c r="Q81" s="221">
        <v>10</v>
      </c>
      <c r="R81" s="112">
        <f t="shared" si="11"/>
        <v>0</v>
      </c>
      <c r="S81" s="223">
        <v>0</v>
      </c>
      <c r="T81" s="223">
        <f t="shared" si="12"/>
        <v>1</v>
      </c>
      <c r="V81" s="233"/>
      <c r="W81" s="223"/>
      <c r="X81" s="196" t="e">
        <f t="shared" si="10"/>
        <v>#VALUE!</v>
      </c>
    </row>
    <row r="82" spans="1:24" s="221" customFormat="1">
      <c r="A82" s="483" t="s">
        <v>2371</v>
      </c>
      <c r="B82" s="483" t="s">
        <v>2370</v>
      </c>
      <c r="C82" s="483"/>
      <c r="D82" s="483" t="s">
        <v>2369</v>
      </c>
      <c r="E82" s="483"/>
      <c r="F82" s="483" t="s">
        <v>1724</v>
      </c>
      <c r="G82" s="484" t="str">
        <f t="shared" si="9"/>
        <v>25/11/2003</v>
      </c>
      <c r="H82" s="485">
        <v>25</v>
      </c>
      <c r="I82" s="485">
        <v>11</v>
      </c>
      <c r="J82" s="486">
        <v>2003</v>
      </c>
      <c r="K82" s="483" t="s">
        <v>30</v>
      </c>
      <c r="L82" s="483" t="s">
        <v>2036</v>
      </c>
      <c r="M82" s="483" t="s">
        <v>869</v>
      </c>
      <c r="N82" s="487">
        <v>2048</v>
      </c>
      <c r="O82" s="230" t="s">
        <v>278</v>
      </c>
      <c r="Q82" s="488">
        <v>10</v>
      </c>
      <c r="R82" s="489">
        <f t="shared" si="11"/>
        <v>17.058333333333334</v>
      </c>
      <c r="S82" s="490">
        <f>X82*R82</f>
        <v>2047</v>
      </c>
      <c r="T82" s="490">
        <f t="shared" si="12"/>
        <v>1</v>
      </c>
      <c r="U82" s="488">
        <v>2702</v>
      </c>
      <c r="V82" s="491"/>
      <c r="W82" s="490"/>
      <c r="X82" s="492">
        <f t="shared" si="10"/>
        <v>120</v>
      </c>
    </row>
    <row r="83" spans="1:24" s="221" customFormat="1">
      <c r="A83" s="226" t="s">
        <v>2368</v>
      </c>
      <c r="B83" s="226" t="str">
        <f>+B82</f>
        <v>Butacas estacionaria Mod. 610 con brazos tapiz. Tela Azúl</v>
      </c>
      <c r="C83" s="226"/>
      <c r="D83" s="226" t="str">
        <f>+D82</f>
        <v>Mod. 610</v>
      </c>
      <c r="E83" s="226"/>
      <c r="F83" s="226" t="s">
        <v>1724</v>
      </c>
      <c r="G83" s="220" t="str">
        <f t="shared" si="9"/>
        <v>25/11/2003</v>
      </c>
      <c r="H83" s="242">
        <v>25</v>
      </c>
      <c r="I83" s="242">
        <v>11</v>
      </c>
      <c r="J83" s="225">
        <v>2003</v>
      </c>
      <c r="K83" s="226" t="s">
        <v>30</v>
      </c>
      <c r="L83" s="226" t="s">
        <v>2036</v>
      </c>
      <c r="M83" s="226" t="s">
        <v>869</v>
      </c>
      <c r="N83" s="230">
        <v>2048</v>
      </c>
      <c r="O83" s="230"/>
      <c r="Q83" s="221">
        <v>10</v>
      </c>
      <c r="R83" s="112">
        <f t="shared" si="11"/>
        <v>17.058333333333334</v>
      </c>
      <c r="S83" s="223">
        <f>X83*R83</f>
        <v>2047</v>
      </c>
      <c r="T83" s="223">
        <f t="shared" si="12"/>
        <v>1</v>
      </c>
      <c r="U83" s="221">
        <v>2702</v>
      </c>
      <c r="V83" s="233"/>
      <c r="W83" s="223"/>
      <c r="X83" s="196">
        <f t="shared" si="10"/>
        <v>120</v>
      </c>
    </row>
    <row r="84" spans="1:24" s="221" customFormat="1">
      <c r="A84" s="226" t="s">
        <v>2367</v>
      </c>
      <c r="B84" s="226" t="s">
        <v>2365</v>
      </c>
      <c r="C84" s="226"/>
      <c r="D84" s="226"/>
      <c r="E84" s="226"/>
      <c r="F84" s="226" t="s">
        <v>1724</v>
      </c>
      <c r="G84" s="220" t="str">
        <f t="shared" si="9"/>
        <v>22/11/2003</v>
      </c>
      <c r="H84" s="242">
        <v>22</v>
      </c>
      <c r="I84" s="242">
        <v>11</v>
      </c>
      <c r="J84" s="225">
        <v>2003</v>
      </c>
      <c r="K84" s="226" t="s">
        <v>30</v>
      </c>
      <c r="L84" s="226" t="s">
        <v>1801</v>
      </c>
      <c r="M84" s="226" t="s">
        <v>869</v>
      </c>
      <c r="N84" s="168">
        <v>13064</v>
      </c>
      <c r="O84" s="168"/>
      <c r="Q84" s="221">
        <v>10</v>
      </c>
      <c r="R84" s="112">
        <f t="shared" si="11"/>
        <v>108.85833333333333</v>
      </c>
      <c r="S84" s="223">
        <f>X84*R84</f>
        <v>13063</v>
      </c>
      <c r="T84" s="223">
        <f t="shared" si="12"/>
        <v>1</v>
      </c>
      <c r="U84" s="221">
        <v>2492</v>
      </c>
      <c r="V84" s="233"/>
      <c r="W84" s="223"/>
      <c r="X84" s="196">
        <f t="shared" si="10"/>
        <v>120</v>
      </c>
    </row>
    <row r="85" spans="1:24" s="221" customFormat="1">
      <c r="A85" s="226" t="s">
        <v>2366</v>
      </c>
      <c r="B85" s="226" t="s">
        <v>2365</v>
      </c>
      <c r="C85" s="226"/>
      <c r="D85" s="226"/>
      <c r="E85" s="226"/>
      <c r="F85" s="226" t="s">
        <v>1724</v>
      </c>
      <c r="G85" s="220" t="str">
        <f t="shared" si="9"/>
        <v>22/11/2003</v>
      </c>
      <c r="H85" s="242">
        <v>22</v>
      </c>
      <c r="I85" s="242">
        <v>11</v>
      </c>
      <c r="J85" s="225">
        <v>2003</v>
      </c>
      <c r="K85" s="226" t="s">
        <v>30</v>
      </c>
      <c r="L85" s="226" t="s">
        <v>1801</v>
      </c>
      <c r="M85" s="226" t="s">
        <v>869</v>
      </c>
      <c r="N85" s="168">
        <v>13064</v>
      </c>
      <c r="O85" s="168"/>
      <c r="Q85" s="221">
        <v>10</v>
      </c>
      <c r="R85" s="112">
        <f t="shared" si="11"/>
        <v>108.85833333333333</v>
      </c>
      <c r="S85" s="223">
        <f>X85*R85</f>
        <v>13063</v>
      </c>
      <c r="T85" s="223">
        <f t="shared" si="12"/>
        <v>1</v>
      </c>
      <c r="U85" s="221">
        <v>2492</v>
      </c>
      <c r="V85" s="233"/>
      <c r="W85" s="223"/>
      <c r="X85" s="196">
        <f t="shared" si="10"/>
        <v>120</v>
      </c>
    </row>
    <row r="86" spans="1:24" s="221" customFormat="1">
      <c r="A86" s="226" t="s">
        <v>2364</v>
      </c>
      <c r="B86" s="206" t="s">
        <v>2363</v>
      </c>
      <c r="C86" s="226"/>
      <c r="D86" s="226"/>
      <c r="E86" s="226"/>
      <c r="F86" s="226"/>
      <c r="G86" s="220" t="str">
        <f t="shared" si="9"/>
        <v>//</v>
      </c>
      <c r="H86" s="242"/>
      <c r="I86" s="242"/>
      <c r="J86" s="225"/>
      <c r="K86" s="226"/>
      <c r="L86" s="226"/>
      <c r="M86" s="226" t="s">
        <v>869</v>
      </c>
      <c r="N86" s="230">
        <v>1</v>
      </c>
      <c r="O86" s="230" t="s">
        <v>593</v>
      </c>
      <c r="Q86" s="221">
        <v>5</v>
      </c>
      <c r="R86" s="112">
        <f t="shared" si="11"/>
        <v>0</v>
      </c>
      <c r="S86" s="223">
        <v>0</v>
      </c>
      <c r="T86" s="223">
        <f t="shared" si="12"/>
        <v>1</v>
      </c>
      <c r="V86" s="233"/>
      <c r="W86" s="223"/>
      <c r="X86" s="196" t="e">
        <f t="shared" si="10"/>
        <v>#VALUE!</v>
      </c>
    </row>
    <row r="87" spans="1:24" s="221" customFormat="1">
      <c r="A87" s="226" t="s">
        <v>2362</v>
      </c>
      <c r="B87" s="226" t="s">
        <v>2361</v>
      </c>
      <c r="C87" s="226" t="s">
        <v>2000</v>
      </c>
      <c r="D87" s="226"/>
      <c r="E87" s="226"/>
      <c r="F87" s="226" t="s">
        <v>492</v>
      </c>
      <c r="G87" s="220" t="str">
        <f t="shared" si="9"/>
        <v>20/12/2007</v>
      </c>
      <c r="H87" s="242">
        <v>20</v>
      </c>
      <c r="I87" s="242">
        <v>12</v>
      </c>
      <c r="J87" s="225">
        <v>2007</v>
      </c>
      <c r="K87" s="226" t="s">
        <v>30</v>
      </c>
      <c r="L87" s="226">
        <v>150008</v>
      </c>
      <c r="M87" s="226" t="s">
        <v>869</v>
      </c>
      <c r="N87" s="168">
        <v>580</v>
      </c>
      <c r="O87" s="168"/>
      <c r="Q87" s="221">
        <v>10</v>
      </c>
      <c r="R87" s="112">
        <f t="shared" si="11"/>
        <v>4.8250000000000002</v>
      </c>
      <c r="S87" s="223">
        <f t="shared" ref="S87:S128" si="13">X87*R87</f>
        <v>366.7</v>
      </c>
      <c r="T87" s="223">
        <f t="shared" si="12"/>
        <v>213.3</v>
      </c>
      <c r="U87" s="221">
        <v>10394</v>
      </c>
      <c r="V87" s="233"/>
      <c r="W87" s="223"/>
      <c r="X87" s="196">
        <f t="shared" si="10"/>
        <v>76</v>
      </c>
    </row>
    <row r="88" spans="1:24" s="221" customFormat="1">
      <c r="A88" s="226" t="s">
        <v>2360</v>
      </c>
      <c r="B88" s="226" t="s">
        <v>2356</v>
      </c>
      <c r="C88" s="226"/>
      <c r="D88" s="226" t="s">
        <v>2313</v>
      </c>
      <c r="E88" s="226"/>
      <c r="F88" s="226" t="s">
        <v>2321</v>
      </c>
      <c r="G88" s="220" t="str">
        <f t="shared" si="9"/>
        <v>21/11/2003</v>
      </c>
      <c r="H88" s="242">
        <v>21</v>
      </c>
      <c r="I88" s="242">
        <v>11</v>
      </c>
      <c r="J88" s="225">
        <v>2003</v>
      </c>
      <c r="K88" s="226" t="s">
        <v>30</v>
      </c>
      <c r="L88" s="226">
        <v>13675</v>
      </c>
      <c r="M88" s="226" t="s">
        <v>869</v>
      </c>
      <c r="N88" s="230">
        <v>4475.12</v>
      </c>
      <c r="O88" s="230"/>
      <c r="Q88" s="221">
        <v>10</v>
      </c>
      <c r="R88" s="112">
        <f t="shared" si="11"/>
        <v>37.284333333333329</v>
      </c>
      <c r="S88" s="223">
        <f t="shared" si="13"/>
        <v>4474.12</v>
      </c>
      <c r="T88" s="223">
        <f t="shared" si="12"/>
        <v>1</v>
      </c>
      <c r="U88" s="221">
        <v>2459</v>
      </c>
      <c r="V88" s="233"/>
      <c r="W88" s="223"/>
      <c r="X88" s="196">
        <f t="shared" si="10"/>
        <v>120</v>
      </c>
    </row>
    <row r="89" spans="1:24" s="221" customFormat="1">
      <c r="A89" s="226" t="s">
        <v>2359</v>
      </c>
      <c r="B89" s="226" t="s">
        <v>2356</v>
      </c>
      <c r="C89" s="226"/>
      <c r="D89" s="226" t="s">
        <v>2358</v>
      </c>
      <c r="E89" s="226"/>
      <c r="F89" s="226" t="s">
        <v>2308</v>
      </c>
      <c r="G89" s="220" t="str">
        <f t="shared" si="9"/>
        <v>5/6/2005</v>
      </c>
      <c r="H89" s="242">
        <v>5</v>
      </c>
      <c r="I89" s="242">
        <v>6</v>
      </c>
      <c r="J89" s="225">
        <v>2005</v>
      </c>
      <c r="K89" s="226" t="s">
        <v>1510</v>
      </c>
      <c r="L89" s="226">
        <v>1348</v>
      </c>
      <c r="M89" s="226" t="s">
        <v>869</v>
      </c>
      <c r="N89" s="230">
        <v>3997</v>
      </c>
      <c r="O89" s="230"/>
      <c r="Q89" s="221">
        <v>10</v>
      </c>
      <c r="R89" s="112">
        <f t="shared" si="11"/>
        <v>33.300000000000004</v>
      </c>
      <c r="S89" s="223">
        <f t="shared" si="13"/>
        <v>3529.8000000000006</v>
      </c>
      <c r="T89" s="223">
        <f t="shared" si="12"/>
        <v>467.19999999999936</v>
      </c>
      <c r="U89" s="221">
        <v>6278</v>
      </c>
      <c r="V89" s="233"/>
      <c r="W89" s="223"/>
      <c r="X89" s="196">
        <f t="shared" si="10"/>
        <v>106</v>
      </c>
    </row>
    <row r="90" spans="1:24" s="221" customFormat="1">
      <c r="A90" s="226" t="s">
        <v>2357</v>
      </c>
      <c r="B90" s="226" t="s">
        <v>2356</v>
      </c>
      <c r="C90" s="226"/>
      <c r="D90" s="226" t="s">
        <v>2355</v>
      </c>
      <c r="E90" s="226"/>
      <c r="F90" s="226" t="s">
        <v>2308</v>
      </c>
      <c r="G90" s="220" t="str">
        <f t="shared" si="9"/>
        <v>4/8/2005</v>
      </c>
      <c r="H90" s="242">
        <v>4</v>
      </c>
      <c r="I90" s="242">
        <v>8</v>
      </c>
      <c r="J90" s="225">
        <v>2005</v>
      </c>
      <c r="K90" s="226" t="s">
        <v>1510</v>
      </c>
      <c r="L90" s="226">
        <v>1323</v>
      </c>
      <c r="M90" s="226" t="s">
        <v>869</v>
      </c>
      <c r="N90" s="230">
        <v>2986</v>
      </c>
      <c r="O90" s="230"/>
      <c r="Q90" s="221">
        <v>10</v>
      </c>
      <c r="R90" s="112">
        <f t="shared" si="11"/>
        <v>24.875</v>
      </c>
      <c r="S90" s="223">
        <f t="shared" si="13"/>
        <v>2587</v>
      </c>
      <c r="T90" s="223">
        <f t="shared" si="12"/>
        <v>399</v>
      </c>
      <c r="U90" s="221">
        <v>6089</v>
      </c>
      <c r="V90" s="233"/>
      <c r="W90" s="223"/>
      <c r="X90" s="196">
        <f t="shared" si="10"/>
        <v>104</v>
      </c>
    </row>
    <row r="91" spans="1:24" s="221" customFormat="1">
      <c r="A91" s="226" t="s">
        <v>2354</v>
      </c>
      <c r="B91" s="226" t="s">
        <v>2330</v>
      </c>
      <c r="C91" s="226"/>
      <c r="D91" s="226" t="s">
        <v>2353</v>
      </c>
      <c r="E91" s="226"/>
      <c r="F91" s="226" t="s">
        <v>2294</v>
      </c>
      <c r="G91" s="220" t="str">
        <f t="shared" si="9"/>
        <v>12/12/2003</v>
      </c>
      <c r="H91" s="242">
        <v>12</v>
      </c>
      <c r="I91" s="242">
        <v>12</v>
      </c>
      <c r="J91" s="225">
        <v>2003</v>
      </c>
      <c r="K91" s="226" t="s">
        <v>30</v>
      </c>
      <c r="L91" s="226">
        <v>13742</v>
      </c>
      <c r="M91" s="226" t="s">
        <v>869</v>
      </c>
      <c r="N91" s="168">
        <v>5953</v>
      </c>
      <c r="O91" s="168"/>
      <c r="Q91" s="221">
        <v>10</v>
      </c>
      <c r="R91" s="112">
        <f t="shared" si="11"/>
        <v>49.6</v>
      </c>
      <c r="S91" s="223">
        <f t="shared" si="13"/>
        <v>5952</v>
      </c>
      <c r="T91" s="223">
        <f t="shared" si="12"/>
        <v>1</v>
      </c>
      <c r="U91" s="221">
        <v>2873</v>
      </c>
      <c r="V91" s="233"/>
      <c r="W91" s="223"/>
      <c r="X91" s="196">
        <f t="shared" si="10"/>
        <v>120</v>
      </c>
    </row>
    <row r="92" spans="1:24" s="221" customFormat="1">
      <c r="A92" s="226" t="s">
        <v>2352</v>
      </c>
      <c r="B92" s="226" t="s">
        <v>2330</v>
      </c>
      <c r="C92" s="226"/>
      <c r="D92" s="226" t="s">
        <v>2351</v>
      </c>
      <c r="E92" s="226"/>
      <c r="F92" s="226" t="s">
        <v>2294</v>
      </c>
      <c r="G92" s="220" t="str">
        <f t="shared" si="9"/>
        <v>12/12/2003</v>
      </c>
      <c r="H92" s="242">
        <v>12</v>
      </c>
      <c r="I92" s="242">
        <v>12</v>
      </c>
      <c r="J92" s="225">
        <v>2003</v>
      </c>
      <c r="K92" s="226" t="s">
        <v>30</v>
      </c>
      <c r="L92" s="226">
        <v>13742</v>
      </c>
      <c r="M92" s="226" t="s">
        <v>869</v>
      </c>
      <c r="N92" s="168">
        <v>7938</v>
      </c>
      <c r="O92" s="168"/>
      <c r="Q92" s="221">
        <v>10</v>
      </c>
      <c r="R92" s="112">
        <f t="shared" si="11"/>
        <v>66.141666666666666</v>
      </c>
      <c r="S92" s="223">
        <f t="shared" si="13"/>
        <v>7937</v>
      </c>
      <c r="T92" s="223">
        <f t="shared" si="12"/>
        <v>1</v>
      </c>
      <c r="U92" s="221">
        <v>2873</v>
      </c>
      <c r="V92" s="233"/>
      <c r="W92" s="223"/>
      <c r="X92" s="196">
        <f t="shared" si="10"/>
        <v>120</v>
      </c>
    </row>
    <row r="93" spans="1:24" s="221" customFormat="1">
      <c r="A93" s="226" t="s">
        <v>2350</v>
      </c>
      <c r="B93" s="226" t="s">
        <v>2330</v>
      </c>
      <c r="C93" s="226"/>
      <c r="D93" s="226" t="s">
        <v>2349</v>
      </c>
      <c r="E93" s="226"/>
      <c r="F93" s="226" t="s">
        <v>2294</v>
      </c>
      <c r="G93" s="220" t="str">
        <f t="shared" si="9"/>
        <v>12/12/2003</v>
      </c>
      <c r="H93" s="242">
        <v>12</v>
      </c>
      <c r="I93" s="242">
        <v>12</v>
      </c>
      <c r="J93" s="225">
        <v>2003</v>
      </c>
      <c r="K93" s="226" t="s">
        <v>30</v>
      </c>
      <c r="L93" s="226">
        <v>13742</v>
      </c>
      <c r="M93" s="226" t="s">
        <v>869</v>
      </c>
      <c r="N93" s="168">
        <v>7938</v>
      </c>
      <c r="O93" s="168"/>
      <c r="Q93" s="221">
        <v>10</v>
      </c>
      <c r="R93" s="112">
        <f t="shared" si="11"/>
        <v>66.141666666666666</v>
      </c>
      <c r="S93" s="223">
        <f t="shared" si="13"/>
        <v>7937</v>
      </c>
      <c r="T93" s="223">
        <f t="shared" si="12"/>
        <v>1</v>
      </c>
      <c r="U93" s="221">
        <v>2873</v>
      </c>
      <c r="V93" s="233"/>
      <c r="W93" s="223"/>
      <c r="X93" s="196">
        <f t="shared" si="10"/>
        <v>120</v>
      </c>
    </row>
    <row r="94" spans="1:24" s="221" customFormat="1">
      <c r="A94" s="226" t="s">
        <v>2348</v>
      </c>
      <c r="B94" s="226" t="s">
        <v>2330</v>
      </c>
      <c r="C94" s="226"/>
      <c r="D94" s="226" t="s">
        <v>2347</v>
      </c>
      <c r="E94" s="226"/>
      <c r="F94" s="226" t="s">
        <v>2294</v>
      </c>
      <c r="G94" s="220" t="str">
        <f t="shared" si="9"/>
        <v>12/12/2003</v>
      </c>
      <c r="H94" s="242">
        <v>12</v>
      </c>
      <c r="I94" s="242">
        <v>12</v>
      </c>
      <c r="J94" s="225">
        <v>2003</v>
      </c>
      <c r="K94" s="226" t="s">
        <v>30</v>
      </c>
      <c r="L94" s="226">
        <v>13766</v>
      </c>
      <c r="M94" s="226" t="s">
        <v>869</v>
      </c>
      <c r="N94" s="230">
        <v>5194.8</v>
      </c>
      <c r="O94" s="230"/>
      <c r="Q94" s="221">
        <v>10</v>
      </c>
      <c r="R94" s="112">
        <f t="shared" si="11"/>
        <v>43.281666666666666</v>
      </c>
      <c r="S94" s="223">
        <f t="shared" si="13"/>
        <v>5193.8</v>
      </c>
      <c r="T94" s="223">
        <f t="shared" si="12"/>
        <v>1</v>
      </c>
      <c r="U94" s="221">
        <v>2773</v>
      </c>
      <c r="V94" s="233"/>
      <c r="W94" s="223"/>
      <c r="X94" s="196">
        <f t="shared" si="10"/>
        <v>120</v>
      </c>
    </row>
    <row r="95" spans="1:24" s="221" customFormat="1">
      <c r="A95" s="226" t="s">
        <v>2346</v>
      </c>
      <c r="B95" s="226" t="s">
        <v>2330</v>
      </c>
      <c r="C95" s="226"/>
      <c r="D95" s="226" t="s">
        <v>2345</v>
      </c>
      <c r="E95" s="226"/>
      <c r="F95" s="226" t="s">
        <v>2294</v>
      </c>
      <c r="G95" s="220" t="str">
        <f t="shared" si="9"/>
        <v>12/12/2003</v>
      </c>
      <c r="H95" s="242">
        <v>12</v>
      </c>
      <c r="I95" s="242">
        <v>12</v>
      </c>
      <c r="J95" s="225">
        <v>2003</v>
      </c>
      <c r="K95" s="226" t="s">
        <v>30</v>
      </c>
      <c r="L95" s="226">
        <v>13742</v>
      </c>
      <c r="M95" s="226" t="s">
        <v>869</v>
      </c>
      <c r="N95" s="230">
        <v>10784</v>
      </c>
      <c r="O95" s="230"/>
      <c r="Q95" s="221">
        <v>10</v>
      </c>
      <c r="R95" s="112">
        <f t="shared" si="11"/>
        <v>89.858333333333334</v>
      </c>
      <c r="S95" s="223">
        <f t="shared" si="13"/>
        <v>10783</v>
      </c>
      <c r="T95" s="223">
        <f t="shared" si="12"/>
        <v>1</v>
      </c>
      <c r="U95" s="221">
        <v>2873</v>
      </c>
      <c r="V95" s="233"/>
      <c r="W95" s="223"/>
      <c r="X95" s="196">
        <f t="shared" si="10"/>
        <v>120</v>
      </c>
    </row>
    <row r="96" spans="1:24" s="221" customFormat="1">
      <c r="A96" s="226" t="s">
        <v>2344</v>
      </c>
      <c r="B96" s="226" t="s">
        <v>2330</v>
      </c>
      <c r="C96" s="226"/>
      <c r="D96" s="226" t="s">
        <v>2343</v>
      </c>
      <c r="E96" s="226"/>
      <c r="F96" s="226" t="s">
        <v>2294</v>
      </c>
      <c r="G96" s="220" t="str">
        <f t="shared" si="9"/>
        <v>12/12/2003</v>
      </c>
      <c r="H96" s="242">
        <v>12</v>
      </c>
      <c r="I96" s="242">
        <v>12</v>
      </c>
      <c r="J96" s="225">
        <v>2003</v>
      </c>
      <c r="K96" s="226" t="s">
        <v>30</v>
      </c>
      <c r="L96" s="226">
        <v>13742</v>
      </c>
      <c r="M96" s="226" t="s">
        <v>869</v>
      </c>
      <c r="N96" s="230">
        <v>4607</v>
      </c>
      <c r="O96" s="230"/>
      <c r="Q96" s="221">
        <v>10</v>
      </c>
      <c r="R96" s="112">
        <f t="shared" si="11"/>
        <v>38.383333333333333</v>
      </c>
      <c r="S96" s="223">
        <f t="shared" si="13"/>
        <v>4606</v>
      </c>
      <c r="T96" s="223">
        <f t="shared" si="12"/>
        <v>1</v>
      </c>
      <c r="U96" s="221">
        <v>2873</v>
      </c>
      <c r="V96" s="233"/>
      <c r="W96" s="223"/>
      <c r="X96" s="196">
        <f t="shared" si="10"/>
        <v>120</v>
      </c>
    </row>
    <row r="97" spans="1:24" s="221" customFormat="1">
      <c r="A97" s="226" t="s">
        <v>2342</v>
      </c>
      <c r="B97" s="226" t="s">
        <v>2330</v>
      </c>
      <c r="C97" s="226"/>
      <c r="D97" s="226" t="s">
        <v>2341</v>
      </c>
      <c r="E97" s="226"/>
      <c r="F97" s="226" t="s">
        <v>2294</v>
      </c>
      <c r="G97" s="220" t="str">
        <f t="shared" si="9"/>
        <v>19/12/2003</v>
      </c>
      <c r="H97" s="242">
        <v>19</v>
      </c>
      <c r="I97" s="242">
        <v>12</v>
      </c>
      <c r="J97" s="225">
        <v>2003</v>
      </c>
      <c r="K97" s="226" t="s">
        <v>30</v>
      </c>
      <c r="L97" s="226">
        <v>13766</v>
      </c>
      <c r="M97" s="226" t="s">
        <v>869</v>
      </c>
      <c r="N97" s="230">
        <v>5194.5600000000004</v>
      </c>
      <c r="O97" s="230"/>
      <c r="Q97" s="221">
        <v>10</v>
      </c>
      <c r="R97" s="112">
        <f t="shared" si="11"/>
        <v>43.279666666666664</v>
      </c>
      <c r="S97" s="223">
        <f t="shared" si="13"/>
        <v>5193.5599999999995</v>
      </c>
      <c r="T97" s="223">
        <f t="shared" si="12"/>
        <v>1.0000000000009095</v>
      </c>
      <c r="U97" s="221">
        <v>2773</v>
      </c>
      <c r="V97" s="233"/>
      <c r="W97" s="223"/>
      <c r="X97" s="196">
        <f t="shared" si="10"/>
        <v>120</v>
      </c>
    </row>
    <row r="98" spans="1:24" s="221" customFormat="1">
      <c r="A98" s="226" t="s">
        <v>2340</v>
      </c>
      <c r="B98" s="226" t="s">
        <v>2330</v>
      </c>
      <c r="C98" s="226"/>
      <c r="D98" s="226" t="s">
        <v>2338</v>
      </c>
      <c r="E98" s="226"/>
      <c r="F98" s="226" t="s">
        <v>2290</v>
      </c>
      <c r="G98" s="220" t="str">
        <f t="shared" si="9"/>
        <v>9/12/2003</v>
      </c>
      <c r="H98" s="242">
        <v>9</v>
      </c>
      <c r="I98" s="242">
        <v>12</v>
      </c>
      <c r="J98" s="225">
        <v>2003</v>
      </c>
      <c r="K98" s="226" t="s">
        <v>30</v>
      </c>
      <c r="L98" s="226">
        <v>13766</v>
      </c>
      <c r="M98" s="226" t="s">
        <v>869</v>
      </c>
      <c r="N98" s="230">
        <v>5194.8</v>
      </c>
      <c r="O98" s="230"/>
      <c r="Q98" s="221">
        <v>10</v>
      </c>
      <c r="R98" s="112">
        <f t="shared" si="11"/>
        <v>43.281666666666666</v>
      </c>
      <c r="S98" s="223">
        <f t="shared" si="13"/>
        <v>5193.8</v>
      </c>
      <c r="T98" s="223">
        <f t="shared" si="12"/>
        <v>1</v>
      </c>
      <c r="U98" s="221">
        <v>2773</v>
      </c>
      <c r="V98" s="233"/>
      <c r="W98" s="223"/>
      <c r="X98" s="196">
        <f t="shared" si="10"/>
        <v>120</v>
      </c>
    </row>
    <row r="99" spans="1:24" s="221" customFormat="1">
      <c r="A99" s="226" t="s">
        <v>2339</v>
      </c>
      <c r="B99" s="226" t="s">
        <v>2330</v>
      </c>
      <c r="C99" s="226"/>
      <c r="D99" s="226" t="s">
        <v>2338</v>
      </c>
      <c r="E99" s="226"/>
      <c r="F99" s="226" t="s">
        <v>2290</v>
      </c>
      <c r="G99" s="220" t="str">
        <f t="shared" si="9"/>
        <v>9/12/2003</v>
      </c>
      <c r="H99" s="242">
        <v>9</v>
      </c>
      <c r="I99" s="242">
        <v>12</v>
      </c>
      <c r="J99" s="225">
        <v>2003</v>
      </c>
      <c r="K99" s="226" t="s">
        <v>30</v>
      </c>
      <c r="L99" s="226">
        <v>13766</v>
      </c>
      <c r="M99" s="226" t="s">
        <v>869</v>
      </c>
      <c r="N99" s="230">
        <v>5192.32</v>
      </c>
      <c r="O99" s="230"/>
      <c r="Q99" s="221">
        <v>10</v>
      </c>
      <c r="R99" s="112">
        <f t="shared" si="11"/>
        <v>43.260999999999996</v>
      </c>
      <c r="S99" s="223">
        <f t="shared" si="13"/>
        <v>5191.32</v>
      </c>
      <c r="T99" s="223">
        <f t="shared" si="12"/>
        <v>1</v>
      </c>
      <c r="U99" s="221">
        <v>2773</v>
      </c>
      <c r="V99" s="233"/>
      <c r="W99" s="223"/>
      <c r="X99" s="196">
        <f t="shared" si="10"/>
        <v>120</v>
      </c>
    </row>
    <row r="100" spans="1:24" s="221" customFormat="1">
      <c r="A100" s="226" t="s">
        <v>2337</v>
      </c>
      <c r="B100" s="226" t="s">
        <v>2330</v>
      </c>
      <c r="C100" s="226"/>
      <c r="D100" s="226" t="s">
        <v>2336</v>
      </c>
      <c r="E100" s="226"/>
      <c r="F100" s="226" t="s">
        <v>2290</v>
      </c>
      <c r="G100" s="220" t="str">
        <f t="shared" si="9"/>
        <v>19/12/2003</v>
      </c>
      <c r="H100" s="242">
        <v>19</v>
      </c>
      <c r="I100" s="242">
        <v>12</v>
      </c>
      <c r="J100" s="225">
        <v>2003</v>
      </c>
      <c r="K100" s="226" t="s">
        <v>30</v>
      </c>
      <c r="L100" s="226">
        <v>13767</v>
      </c>
      <c r="M100" s="226" t="s">
        <v>869</v>
      </c>
      <c r="N100" s="230">
        <v>5193.76</v>
      </c>
      <c r="O100" s="230"/>
      <c r="Q100" s="221">
        <v>10</v>
      </c>
      <c r="R100" s="112">
        <f t="shared" si="11"/>
        <v>43.273000000000003</v>
      </c>
      <c r="S100" s="223">
        <f t="shared" si="13"/>
        <v>5192.76</v>
      </c>
      <c r="T100" s="223">
        <f t="shared" si="12"/>
        <v>1</v>
      </c>
      <c r="V100" s="233"/>
      <c r="W100" s="223"/>
      <c r="X100" s="196">
        <f t="shared" si="10"/>
        <v>120</v>
      </c>
    </row>
    <row r="101" spans="1:24" s="221" customFormat="1">
      <c r="A101" s="226" t="s">
        <v>2335</v>
      </c>
      <c r="B101" s="226" t="s">
        <v>2330</v>
      </c>
      <c r="C101" s="226"/>
      <c r="D101" s="226" t="s">
        <v>2329</v>
      </c>
      <c r="E101" s="226"/>
      <c r="F101" s="226" t="s">
        <v>2290</v>
      </c>
      <c r="G101" s="220" t="str">
        <f t="shared" si="9"/>
        <v>19/12/2003</v>
      </c>
      <c r="H101" s="242">
        <v>19</v>
      </c>
      <c r="I101" s="242">
        <v>12</v>
      </c>
      <c r="J101" s="225">
        <v>2003</v>
      </c>
      <c r="K101" s="226" t="s">
        <v>30</v>
      </c>
      <c r="L101" s="226">
        <v>13767</v>
      </c>
      <c r="M101" s="226" t="s">
        <v>869</v>
      </c>
      <c r="N101" s="230">
        <v>5193</v>
      </c>
      <c r="O101" s="230"/>
      <c r="Q101" s="221">
        <v>10</v>
      </c>
      <c r="R101" s="112">
        <f t="shared" si="11"/>
        <v>43.266666666666673</v>
      </c>
      <c r="S101" s="223">
        <f t="shared" si="13"/>
        <v>5192.0000000000009</v>
      </c>
      <c r="T101" s="223">
        <f t="shared" si="12"/>
        <v>0.99999999999909051</v>
      </c>
      <c r="V101" s="233"/>
      <c r="W101" s="223"/>
      <c r="X101" s="196">
        <f t="shared" si="10"/>
        <v>120</v>
      </c>
    </row>
    <row r="102" spans="1:24" s="221" customFormat="1">
      <c r="A102" s="226" t="s">
        <v>2334</v>
      </c>
      <c r="B102" s="226" t="s">
        <v>2330</v>
      </c>
      <c r="C102" s="226"/>
      <c r="D102" s="226" t="s">
        <v>2329</v>
      </c>
      <c r="E102" s="226"/>
      <c r="F102" s="226" t="s">
        <v>2290</v>
      </c>
      <c r="G102" s="220" t="str">
        <f t="shared" si="9"/>
        <v>19/12/2003</v>
      </c>
      <c r="H102" s="242">
        <v>19</v>
      </c>
      <c r="I102" s="242">
        <v>12</v>
      </c>
      <c r="J102" s="225">
        <v>2003</v>
      </c>
      <c r="K102" s="226" t="s">
        <v>30</v>
      </c>
      <c r="L102" s="226">
        <v>13767</v>
      </c>
      <c r="M102" s="226" t="s">
        <v>869</v>
      </c>
      <c r="N102" s="230">
        <v>5192.32</v>
      </c>
      <c r="O102" s="230"/>
      <c r="Q102" s="221">
        <v>10</v>
      </c>
      <c r="R102" s="112">
        <f t="shared" si="11"/>
        <v>43.260999999999996</v>
      </c>
      <c r="S102" s="223">
        <f t="shared" si="13"/>
        <v>5191.32</v>
      </c>
      <c r="T102" s="223">
        <f t="shared" si="12"/>
        <v>1</v>
      </c>
      <c r="V102" s="233"/>
      <c r="W102" s="223"/>
      <c r="X102" s="196">
        <f t="shared" si="10"/>
        <v>120</v>
      </c>
    </row>
    <row r="103" spans="1:24" s="221" customFormat="1">
      <c r="A103" s="226" t="s">
        <v>2333</v>
      </c>
      <c r="B103" s="226" t="s">
        <v>2330</v>
      </c>
      <c r="C103" s="226"/>
      <c r="D103" s="226" t="s">
        <v>2329</v>
      </c>
      <c r="E103" s="226"/>
      <c r="F103" s="226" t="s">
        <v>2290</v>
      </c>
      <c r="G103" s="220" t="str">
        <f t="shared" si="9"/>
        <v>19/12/2003</v>
      </c>
      <c r="H103" s="242">
        <v>19</v>
      </c>
      <c r="I103" s="242">
        <v>12</v>
      </c>
      <c r="J103" s="225">
        <v>2003</v>
      </c>
      <c r="K103" s="226" t="s">
        <v>30</v>
      </c>
      <c r="L103" s="226">
        <v>13767</v>
      </c>
      <c r="M103" s="226" t="s">
        <v>869</v>
      </c>
      <c r="N103" s="230">
        <v>5193</v>
      </c>
      <c r="O103" s="230"/>
      <c r="Q103" s="221">
        <v>10</v>
      </c>
      <c r="R103" s="112">
        <f t="shared" si="11"/>
        <v>43.266666666666673</v>
      </c>
      <c r="S103" s="223">
        <f t="shared" si="13"/>
        <v>5192.0000000000009</v>
      </c>
      <c r="T103" s="223">
        <f t="shared" si="12"/>
        <v>0.99999999999909051</v>
      </c>
      <c r="V103" s="233"/>
      <c r="W103" s="223"/>
      <c r="X103" s="196">
        <f t="shared" si="10"/>
        <v>120</v>
      </c>
    </row>
    <row r="104" spans="1:24" s="221" customFormat="1">
      <c r="A104" s="226" t="s">
        <v>2332</v>
      </c>
      <c r="B104" s="226" t="s">
        <v>2330</v>
      </c>
      <c r="C104" s="226"/>
      <c r="D104" s="226" t="s">
        <v>2329</v>
      </c>
      <c r="E104" s="226"/>
      <c r="F104" s="226" t="s">
        <v>2290</v>
      </c>
      <c r="G104" s="220" t="str">
        <f t="shared" si="9"/>
        <v>19/12/2003</v>
      </c>
      <c r="H104" s="242">
        <v>19</v>
      </c>
      <c r="I104" s="242">
        <v>12</v>
      </c>
      <c r="J104" s="225">
        <v>2003</v>
      </c>
      <c r="K104" s="226" t="s">
        <v>30</v>
      </c>
      <c r="L104" s="226">
        <v>13767</v>
      </c>
      <c r="M104" s="226" t="s">
        <v>869</v>
      </c>
      <c r="N104" s="230">
        <v>5193</v>
      </c>
      <c r="O104" s="230"/>
      <c r="Q104" s="221">
        <v>10</v>
      </c>
      <c r="R104" s="112">
        <f t="shared" si="11"/>
        <v>43.266666666666673</v>
      </c>
      <c r="S104" s="223">
        <f t="shared" si="13"/>
        <v>5192.0000000000009</v>
      </c>
      <c r="T104" s="223">
        <f t="shared" si="12"/>
        <v>0.99999999999909051</v>
      </c>
      <c r="V104" s="233"/>
      <c r="W104" s="223"/>
      <c r="X104" s="196">
        <f t="shared" si="10"/>
        <v>120</v>
      </c>
    </row>
    <row r="105" spans="1:24" s="221" customFormat="1">
      <c r="A105" s="226" t="s">
        <v>2331</v>
      </c>
      <c r="B105" s="226" t="s">
        <v>2330</v>
      </c>
      <c r="C105" s="226"/>
      <c r="D105" s="226" t="s">
        <v>2329</v>
      </c>
      <c r="E105" s="226"/>
      <c r="F105" s="226" t="s">
        <v>2290</v>
      </c>
      <c r="G105" s="220" t="str">
        <f t="shared" si="9"/>
        <v>19/12/2003</v>
      </c>
      <c r="H105" s="242">
        <v>19</v>
      </c>
      <c r="I105" s="242">
        <v>12</v>
      </c>
      <c r="J105" s="225">
        <v>2003</v>
      </c>
      <c r="K105" s="226" t="s">
        <v>30</v>
      </c>
      <c r="L105" s="226">
        <v>13767</v>
      </c>
      <c r="M105" s="226" t="s">
        <v>869</v>
      </c>
      <c r="N105" s="230">
        <v>5193</v>
      </c>
      <c r="O105" s="230"/>
      <c r="Q105" s="221">
        <v>10</v>
      </c>
      <c r="R105" s="112">
        <f t="shared" si="11"/>
        <v>43.266666666666673</v>
      </c>
      <c r="S105" s="223">
        <f t="shared" si="13"/>
        <v>5192.0000000000009</v>
      </c>
      <c r="T105" s="223">
        <f t="shared" si="12"/>
        <v>0.99999999999909051</v>
      </c>
      <c r="V105" s="233"/>
      <c r="W105" s="223"/>
      <c r="X105" s="196">
        <f t="shared" si="10"/>
        <v>120</v>
      </c>
    </row>
    <row r="106" spans="1:24" s="221" customFormat="1">
      <c r="A106" s="226" t="s">
        <v>2328</v>
      </c>
      <c r="B106" s="226" t="s">
        <v>2288</v>
      </c>
      <c r="C106" s="226"/>
      <c r="D106" s="226" t="s">
        <v>2327</v>
      </c>
      <c r="E106" s="226"/>
      <c r="F106" s="226" t="s">
        <v>2290</v>
      </c>
      <c r="G106" s="220" t="str">
        <f t="shared" si="9"/>
        <v>21/11/2003</v>
      </c>
      <c r="H106" s="242">
        <v>21</v>
      </c>
      <c r="I106" s="242">
        <v>11</v>
      </c>
      <c r="J106" s="225">
        <v>2003</v>
      </c>
      <c r="K106" s="226" t="s">
        <v>30</v>
      </c>
      <c r="L106" s="226">
        <v>13675</v>
      </c>
      <c r="M106" s="226" t="s">
        <v>869</v>
      </c>
      <c r="N106" s="230">
        <v>2268.0100000000002</v>
      </c>
      <c r="O106" s="230"/>
      <c r="Q106" s="221">
        <v>10</v>
      </c>
      <c r="R106" s="112">
        <f t="shared" si="11"/>
        <v>18.891750000000002</v>
      </c>
      <c r="S106" s="223">
        <f t="shared" si="13"/>
        <v>2267.0100000000002</v>
      </c>
      <c r="T106" s="223">
        <f t="shared" si="12"/>
        <v>1</v>
      </c>
      <c r="U106" s="221">
        <v>2459</v>
      </c>
      <c r="V106" s="233"/>
      <c r="W106" s="223"/>
      <c r="X106" s="196">
        <f t="shared" si="10"/>
        <v>120</v>
      </c>
    </row>
    <row r="107" spans="1:24" s="221" customFormat="1">
      <c r="A107" s="226" t="s">
        <v>2326</v>
      </c>
      <c r="B107" s="226" t="s">
        <v>2288</v>
      </c>
      <c r="C107" s="226"/>
      <c r="D107" s="226" t="s">
        <v>2325</v>
      </c>
      <c r="E107" s="226"/>
      <c r="F107" s="226" t="s">
        <v>2290</v>
      </c>
      <c r="G107" s="220" t="str">
        <f t="shared" si="9"/>
        <v>21/11/2003</v>
      </c>
      <c r="H107" s="242">
        <v>21</v>
      </c>
      <c r="I107" s="242">
        <v>11</v>
      </c>
      <c r="J107" s="225">
        <v>2003</v>
      </c>
      <c r="K107" s="226" t="s">
        <v>30</v>
      </c>
      <c r="L107" s="226">
        <v>13675</v>
      </c>
      <c r="M107" s="226" t="s">
        <v>869</v>
      </c>
      <c r="N107" s="230">
        <v>4475.0600000000004</v>
      </c>
      <c r="O107" s="230"/>
      <c r="Q107" s="221">
        <v>10</v>
      </c>
      <c r="R107" s="112">
        <f t="shared" si="11"/>
        <v>37.283833333333341</v>
      </c>
      <c r="S107" s="223">
        <f t="shared" si="13"/>
        <v>4474.0600000000013</v>
      </c>
      <c r="T107" s="223">
        <f t="shared" si="12"/>
        <v>0.99999999999909051</v>
      </c>
      <c r="U107" s="221">
        <v>2459</v>
      </c>
      <c r="V107" s="233"/>
      <c r="W107" s="223"/>
      <c r="X107" s="196">
        <f t="shared" si="10"/>
        <v>120</v>
      </c>
    </row>
    <row r="108" spans="1:24" s="221" customFormat="1">
      <c r="A108" s="226" t="s">
        <v>2324</v>
      </c>
      <c r="B108" s="226" t="s">
        <v>2288</v>
      </c>
      <c r="C108" s="226"/>
      <c r="D108" s="226" t="s">
        <v>2323</v>
      </c>
      <c r="E108" s="226"/>
      <c r="F108" s="226" t="s">
        <v>2321</v>
      </c>
      <c r="G108" s="220" t="str">
        <f t="shared" si="9"/>
        <v>10/5/2004</v>
      </c>
      <c r="H108" s="242">
        <v>10</v>
      </c>
      <c r="I108" s="242">
        <v>5</v>
      </c>
      <c r="J108" s="225">
        <v>2004</v>
      </c>
      <c r="K108" s="226" t="s">
        <v>30</v>
      </c>
      <c r="L108" s="226">
        <v>14287</v>
      </c>
      <c r="M108" s="226" t="s">
        <v>869</v>
      </c>
      <c r="N108" s="230">
        <v>4500</v>
      </c>
      <c r="O108" s="230"/>
      <c r="Q108" s="221">
        <v>10</v>
      </c>
      <c r="R108" s="112">
        <f t="shared" si="11"/>
        <v>37.491666666666667</v>
      </c>
      <c r="S108" s="223">
        <f t="shared" si="13"/>
        <v>4461.5083333333332</v>
      </c>
      <c r="T108" s="223">
        <f t="shared" si="12"/>
        <v>38.491666666666788</v>
      </c>
      <c r="U108" s="221">
        <v>4738</v>
      </c>
      <c r="V108" s="233"/>
      <c r="W108" s="223"/>
      <c r="X108" s="196">
        <f t="shared" si="10"/>
        <v>119</v>
      </c>
    </row>
    <row r="109" spans="1:24" s="221" customFormat="1">
      <c r="A109" s="226" t="s">
        <v>434</v>
      </c>
      <c r="B109" s="226" t="s">
        <v>2288</v>
      </c>
      <c r="C109" s="226"/>
      <c r="D109" s="226" t="s">
        <v>2322</v>
      </c>
      <c r="E109" s="226"/>
      <c r="F109" s="226" t="s">
        <v>2321</v>
      </c>
      <c r="G109" s="220" t="str">
        <f t="shared" si="9"/>
        <v>21/11/2003</v>
      </c>
      <c r="H109" s="242">
        <v>21</v>
      </c>
      <c r="I109" s="242">
        <v>11</v>
      </c>
      <c r="J109" s="225">
        <v>2003</v>
      </c>
      <c r="K109" s="226" t="s">
        <v>30</v>
      </c>
      <c r="L109" s="226">
        <v>13675</v>
      </c>
      <c r="M109" s="226" t="s">
        <v>869</v>
      </c>
      <c r="N109" s="230">
        <v>2268.0700000000002</v>
      </c>
      <c r="O109" s="230"/>
      <c r="Q109" s="221">
        <v>10</v>
      </c>
      <c r="R109" s="112">
        <f t="shared" si="11"/>
        <v>18.892250000000001</v>
      </c>
      <c r="S109" s="223">
        <f t="shared" si="13"/>
        <v>2267.0700000000002</v>
      </c>
      <c r="T109" s="223">
        <f t="shared" si="12"/>
        <v>1</v>
      </c>
      <c r="U109" s="221">
        <v>2459</v>
      </c>
      <c r="V109" s="233"/>
      <c r="W109" s="223"/>
      <c r="X109" s="196">
        <f t="shared" si="10"/>
        <v>120</v>
      </c>
    </row>
    <row r="110" spans="1:24" s="221" customFormat="1">
      <c r="A110" s="226" t="s">
        <v>2320</v>
      </c>
      <c r="B110" s="226" t="s">
        <v>2288</v>
      </c>
      <c r="C110" s="226"/>
      <c r="D110" s="226" t="s">
        <v>2319</v>
      </c>
      <c r="E110" s="226"/>
      <c r="F110" s="226" t="s">
        <v>2308</v>
      </c>
      <c r="G110" s="220" t="str">
        <f t="shared" si="9"/>
        <v>4/8/2005</v>
      </c>
      <c r="H110" s="242">
        <v>4</v>
      </c>
      <c r="I110" s="242">
        <v>8</v>
      </c>
      <c r="J110" s="225">
        <v>2005</v>
      </c>
      <c r="K110" s="226" t="s">
        <v>1510</v>
      </c>
      <c r="L110" s="226">
        <v>1323</v>
      </c>
      <c r="M110" s="226" t="s">
        <v>869</v>
      </c>
      <c r="N110" s="230">
        <v>3976</v>
      </c>
      <c r="O110" s="230"/>
      <c r="Q110" s="221">
        <v>10</v>
      </c>
      <c r="R110" s="112">
        <f t="shared" si="11"/>
        <v>33.125</v>
      </c>
      <c r="S110" s="223">
        <f t="shared" si="13"/>
        <v>3445</v>
      </c>
      <c r="T110" s="223">
        <f t="shared" si="12"/>
        <v>531</v>
      </c>
      <c r="U110" s="221">
        <v>6089</v>
      </c>
      <c r="V110" s="233"/>
      <c r="W110" s="223"/>
      <c r="X110" s="196">
        <f t="shared" si="10"/>
        <v>104</v>
      </c>
    </row>
    <row r="111" spans="1:24" s="221" customFormat="1">
      <c r="A111" s="226" t="s">
        <v>2318</v>
      </c>
      <c r="B111" s="226" t="s">
        <v>2288</v>
      </c>
      <c r="C111" s="226"/>
      <c r="D111" s="226" t="s">
        <v>2317</v>
      </c>
      <c r="E111" s="226"/>
      <c r="F111" s="226" t="s">
        <v>2290</v>
      </c>
      <c r="G111" s="220" t="str">
        <f t="shared" si="9"/>
        <v>21/11/2003</v>
      </c>
      <c r="H111" s="242">
        <v>21</v>
      </c>
      <c r="I111" s="242">
        <v>11</v>
      </c>
      <c r="J111" s="225">
        <v>2003</v>
      </c>
      <c r="K111" s="226" t="s">
        <v>30</v>
      </c>
      <c r="L111" s="226">
        <v>13675</v>
      </c>
      <c r="M111" s="226" t="s">
        <v>869</v>
      </c>
      <c r="N111" s="230">
        <v>4475.0600000000004</v>
      </c>
      <c r="O111" s="230"/>
      <c r="Q111" s="221">
        <v>10</v>
      </c>
      <c r="R111" s="112">
        <f t="shared" si="11"/>
        <v>37.283833333333341</v>
      </c>
      <c r="S111" s="223">
        <f t="shared" si="13"/>
        <v>4474.0600000000013</v>
      </c>
      <c r="T111" s="223">
        <f t="shared" si="12"/>
        <v>0.99999999999909051</v>
      </c>
      <c r="U111" s="221">
        <v>2459</v>
      </c>
      <c r="V111" s="233"/>
      <c r="W111" s="223"/>
      <c r="X111" s="196">
        <f t="shared" si="10"/>
        <v>120</v>
      </c>
    </row>
    <row r="112" spans="1:24" s="221" customFormat="1">
      <c r="A112" s="226" t="s">
        <v>2316</v>
      </c>
      <c r="B112" s="226" t="s">
        <v>2288</v>
      </c>
      <c r="C112" s="226"/>
      <c r="D112" s="226" t="s">
        <v>2313</v>
      </c>
      <c r="E112" s="226"/>
      <c r="F112" s="226" t="s">
        <v>2290</v>
      </c>
      <c r="G112" s="220" t="str">
        <f t="shared" si="9"/>
        <v>21/11/2003</v>
      </c>
      <c r="H112" s="242">
        <v>21</v>
      </c>
      <c r="I112" s="242">
        <v>11</v>
      </c>
      <c r="J112" s="225">
        <v>2003</v>
      </c>
      <c r="K112" s="226" t="s">
        <v>30</v>
      </c>
      <c r="L112" s="226">
        <v>13675</v>
      </c>
      <c r="M112" s="226" t="s">
        <v>869</v>
      </c>
      <c r="N112" s="230">
        <v>4475.12</v>
      </c>
      <c r="O112" s="230"/>
      <c r="Q112" s="221">
        <v>10</v>
      </c>
      <c r="R112" s="112">
        <f t="shared" si="11"/>
        <v>37.284333333333329</v>
      </c>
      <c r="S112" s="223">
        <f t="shared" si="13"/>
        <v>4474.12</v>
      </c>
      <c r="T112" s="223">
        <f t="shared" si="12"/>
        <v>1</v>
      </c>
      <c r="U112" s="221">
        <v>2459</v>
      </c>
      <c r="V112" s="233"/>
      <c r="W112" s="223"/>
      <c r="X112" s="196">
        <f t="shared" si="10"/>
        <v>120</v>
      </c>
    </row>
    <row r="113" spans="1:24" s="221" customFormat="1">
      <c r="A113" s="226" t="s">
        <v>2315</v>
      </c>
      <c r="B113" s="226" t="s">
        <v>2288</v>
      </c>
      <c r="C113" s="226"/>
      <c r="D113" s="226" t="s">
        <v>2313</v>
      </c>
      <c r="E113" s="226"/>
      <c r="F113" s="226" t="s">
        <v>2290</v>
      </c>
      <c r="G113" s="220" t="str">
        <f t="shared" si="9"/>
        <v>21/11/2003</v>
      </c>
      <c r="H113" s="242">
        <v>21</v>
      </c>
      <c r="I113" s="242">
        <v>11</v>
      </c>
      <c r="J113" s="225">
        <v>2003</v>
      </c>
      <c r="K113" s="226" t="s">
        <v>30</v>
      </c>
      <c r="L113" s="226">
        <v>13675</v>
      </c>
      <c r="M113" s="226" t="s">
        <v>869</v>
      </c>
      <c r="N113" s="230">
        <v>4475.12</v>
      </c>
      <c r="O113" s="230"/>
      <c r="Q113" s="221">
        <v>10</v>
      </c>
      <c r="R113" s="112">
        <f t="shared" si="11"/>
        <v>37.284333333333329</v>
      </c>
      <c r="S113" s="223">
        <f t="shared" si="13"/>
        <v>4474.12</v>
      </c>
      <c r="T113" s="223">
        <f t="shared" si="12"/>
        <v>1</v>
      </c>
      <c r="U113" s="221">
        <v>2459</v>
      </c>
      <c r="V113" s="233"/>
      <c r="W113" s="223"/>
      <c r="X113" s="196">
        <f t="shared" si="10"/>
        <v>120</v>
      </c>
    </row>
    <row r="114" spans="1:24" s="221" customFormat="1">
      <c r="A114" s="226" t="s">
        <v>2314</v>
      </c>
      <c r="B114" s="226" t="s">
        <v>2288</v>
      </c>
      <c r="C114" s="226"/>
      <c r="D114" s="226" t="s">
        <v>2313</v>
      </c>
      <c r="E114" s="226"/>
      <c r="F114" s="226" t="s">
        <v>2290</v>
      </c>
      <c r="G114" s="220" t="str">
        <f t="shared" si="9"/>
        <v>21/11/2003</v>
      </c>
      <c r="H114" s="242">
        <v>21</v>
      </c>
      <c r="I114" s="242">
        <v>11</v>
      </c>
      <c r="J114" s="225">
        <v>2003</v>
      </c>
      <c r="K114" s="226" t="s">
        <v>30</v>
      </c>
      <c r="L114" s="226">
        <v>13675</v>
      </c>
      <c r="M114" s="226" t="s">
        <v>869</v>
      </c>
      <c r="N114" s="230">
        <v>4475.12</v>
      </c>
      <c r="O114" s="230"/>
      <c r="Q114" s="221">
        <v>10</v>
      </c>
      <c r="R114" s="112">
        <f t="shared" si="11"/>
        <v>37.284333333333329</v>
      </c>
      <c r="S114" s="223">
        <f t="shared" si="13"/>
        <v>4474.12</v>
      </c>
      <c r="T114" s="223">
        <f t="shared" si="12"/>
        <v>1</v>
      </c>
      <c r="U114" s="221">
        <v>2459</v>
      </c>
      <c r="V114" s="233"/>
      <c r="W114" s="223"/>
      <c r="X114" s="196">
        <f t="shared" si="10"/>
        <v>120</v>
      </c>
    </row>
    <row r="115" spans="1:24" s="221" customFormat="1">
      <c r="A115" s="226" t="s">
        <v>2312</v>
      </c>
      <c r="B115" s="226" t="s">
        <v>2288</v>
      </c>
      <c r="C115" s="226"/>
      <c r="D115" s="226" t="s">
        <v>2311</v>
      </c>
      <c r="E115" s="226"/>
      <c r="F115" s="226" t="s">
        <v>2308</v>
      </c>
      <c r="G115" s="220" t="str">
        <f t="shared" si="9"/>
        <v>4/8/2005</v>
      </c>
      <c r="H115" s="242">
        <v>4</v>
      </c>
      <c r="I115" s="242">
        <v>8</v>
      </c>
      <c r="J115" s="225">
        <v>2005</v>
      </c>
      <c r="K115" s="226" t="s">
        <v>1510</v>
      </c>
      <c r="L115" s="226">
        <v>1323</v>
      </c>
      <c r="M115" s="226" t="s">
        <v>869</v>
      </c>
      <c r="N115" s="230">
        <v>3997</v>
      </c>
      <c r="O115" s="230"/>
      <c r="Q115" s="221">
        <v>10</v>
      </c>
      <c r="R115" s="112">
        <f t="shared" si="11"/>
        <v>33.300000000000004</v>
      </c>
      <c r="S115" s="223">
        <f t="shared" si="13"/>
        <v>3463.2000000000003</v>
      </c>
      <c r="T115" s="223">
        <f t="shared" si="12"/>
        <v>533.79999999999973</v>
      </c>
      <c r="U115" s="221">
        <v>6089</v>
      </c>
      <c r="V115" s="233"/>
      <c r="W115" s="223"/>
      <c r="X115" s="196">
        <f t="shared" si="10"/>
        <v>104</v>
      </c>
    </row>
    <row r="116" spans="1:24" s="221" customFormat="1">
      <c r="A116" s="226" t="s">
        <v>2310</v>
      </c>
      <c r="B116" s="226" t="s">
        <v>2288</v>
      </c>
      <c r="C116" s="226"/>
      <c r="D116" s="226" t="s">
        <v>2309</v>
      </c>
      <c r="E116" s="226"/>
      <c r="F116" s="226" t="s">
        <v>2308</v>
      </c>
      <c r="G116" s="220" t="str">
        <f t="shared" si="9"/>
        <v>4/8/2005</v>
      </c>
      <c r="H116" s="242">
        <v>4</v>
      </c>
      <c r="I116" s="242">
        <v>8</v>
      </c>
      <c r="J116" s="225">
        <v>2005</v>
      </c>
      <c r="K116" s="226" t="s">
        <v>1510</v>
      </c>
      <c r="L116" s="226">
        <v>1323</v>
      </c>
      <c r="M116" s="226" t="s">
        <v>869</v>
      </c>
      <c r="N116" s="230">
        <v>2986</v>
      </c>
      <c r="O116" s="230"/>
      <c r="Q116" s="221">
        <v>10</v>
      </c>
      <c r="R116" s="112">
        <f t="shared" si="11"/>
        <v>24.875</v>
      </c>
      <c r="S116" s="223">
        <f t="shared" si="13"/>
        <v>2587</v>
      </c>
      <c r="T116" s="223">
        <f t="shared" si="12"/>
        <v>399</v>
      </c>
      <c r="U116" s="221">
        <v>6089</v>
      </c>
      <c r="V116" s="233"/>
      <c r="W116" s="223"/>
      <c r="X116" s="196">
        <f t="shared" si="10"/>
        <v>104</v>
      </c>
    </row>
    <row r="117" spans="1:24" s="221" customFormat="1">
      <c r="A117" s="226" t="s">
        <v>2307</v>
      </c>
      <c r="B117" s="226" t="s">
        <v>2288</v>
      </c>
      <c r="C117" s="226"/>
      <c r="D117" s="226" t="s">
        <v>2306</v>
      </c>
      <c r="E117" s="226"/>
      <c r="F117" s="226" t="s">
        <v>2290</v>
      </c>
      <c r="G117" s="220" t="str">
        <f t="shared" si="9"/>
        <v>21/11/2003</v>
      </c>
      <c r="H117" s="242">
        <v>21</v>
      </c>
      <c r="I117" s="242">
        <v>11</v>
      </c>
      <c r="J117" s="225">
        <v>2003</v>
      </c>
      <c r="K117" s="226" t="s">
        <v>30</v>
      </c>
      <c r="L117" s="226">
        <v>13675</v>
      </c>
      <c r="M117" s="226" t="s">
        <v>869</v>
      </c>
      <c r="N117" s="230">
        <v>5985</v>
      </c>
      <c r="O117" s="230"/>
      <c r="Q117" s="221">
        <v>10</v>
      </c>
      <c r="R117" s="112">
        <f t="shared" si="11"/>
        <v>49.866666666666667</v>
      </c>
      <c r="S117" s="223">
        <f t="shared" si="13"/>
        <v>5984</v>
      </c>
      <c r="T117" s="223">
        <f t="shared" si="12"/>
        <v>1</v>
      </c>
      <c r="U117" s="221">
        <v>2459</v>
      </c>
      <c r="V117" s="233"/>
      <c r="W117" s="223"/>
      <c r="X117" s="196">
        <f t="shared" si="10"/>
        <v>120</v>
      </c>
    </row>
    <row r="118" spans="1:24" s="221" customFormat="1">
      <c r="A118" s="226" t="s">
        <v>2305</v>
      </c>
      <c r="B118" s="226" t="s">
        <v>2288</v>
      </c>
      <c r="C118" s="226"/>
      <c r="D118" s="226" t="s">
        <v>2304</v>
      </c>
      <c r="E118" s="226"/>
      <c r="F118" s="226" t="s">
        <v>2290</v>
      </c>
      <c r="G118" s="220" t="str">
        <f t="shared" si="9"/>
        <v>21/11/2003</v>
      </c>
      <c r="H118" s="242">
        <v>21</v>
      </c>
      <c r="I118" s="242">
        <v>11</v>
      </c>
      <c r="J118" s="225">
        <v>2003</v>
      </c>
      <c r="K118" s="226" t="s">
        <v>30</v>
      </c>
      <c r="L118" s="226">
        <v>13675</v>
      </c>
      <c r="M118" s="226" t="s">
        <v>869</v>
      </c>
      <c r="N118" s="168">
        <v>5985</v>
      </c>
      <c r="O118" s="168"/>
      <c r="Q118" s="221">
        <v>10</v>
      </c>
      <c r="R118" s="112">
        <f t="shared" si="11"/>
        <v>49.866666666666667</v>
      </c>
      <c r="S118" s="223">
        <f t="shared" si="13"/>
        <v>5984</v>
      </c>
      <c r="T118" s="223">
        <f t="shared" si="12"/>
        <v>1</v>
      </c>
      <c r="U118" s="221">
        <v>2459</v>
      </c>
      <c r="V118" s="233"/>
      <c r="W118" s="223"/>
      <c r="X118" s="196">
        <f t="shared" si="10"/>
        <v>120</v>
      </c>
    </row>
    <row r="119" spans="1:24" s="221" customFormat="1">
      <c r="A119" s="226" t="s">
        <v>2303</v>
      </c>
      <c r="B119" s="226" t="s">
        <v>2288</v>
      </c>
      <c r="C119" s="226"/>
      <c r="D119" s="226" t="s">
        <v>2302</v>
      </c>
      <c r="E119" s="226"/>
      <c r="F119" s="226" t="s">
        <v>2290</v>
      </c>
      <c r="G119" s="220" t="str">
        <f t="shared" si="9"/>
        <v>21/11/2003</v>
      </c>
      <c r="H119" s="242">
        <v>21</v>
      </c>
      <c r="I119" s="242">
        <v>11</v>
      </c>
      <c r="J119" s="225">
        <v>2003</v>
      </c>
      <c r="K119" s="226" t="s">
        <v>30</v>
      </c>
      <c r="L119" s="226">
        <v>13675</v>
      </c>
      <c r="M119" s="226" t="s">
        <v>869</v>
      </c>
      <c r="N119" s="168">
        <v>3216.11</v>
      </c>
      <c r="O119" s="168"/>
      <c r="Q119" s="221">
        <v>10</v>
      </c>
      <c r="R119" s="112">
        <f t="shared" si="11"/>
        <v>26.792583333333337</v>
      </c>
      <c r="S119" s="223">
        <f t="shared" si="13"/>
        <v>3215.1100000000006</v>
      </c>
      <c r="T119" s="223">
        <f t="shared" si="12"/>
        <v>0.99999999999954525</v>
      </c>
      <c r="U119" s="221">
        <v>2459</v>
      </c>
      <c r="V119" s="233"/>
      <c r="W119" s="223"/>
      <c r="X119" s="196">
        <f t="shared" si="10"/>
        <v>120</v>
      </c>
    </row>
    <row r="120" spans="1:24" s="221" customFormat="1">
      <c r="A120" s="226" t="s">
        <v>2301</v>
      </c>
      <c r="B120" s="226" t="s">
        <v>2288</v>
      </c>
      <c r="C120" s="226"/>
      <c r="D120" s="226" t="s">
        <v>2300</v>
      </c>
      <c r="E120" s="226"/>
      <c r="F120" s="226" t="s">
        <v>2290</v>
      </c>
      <c r="G120" s="220" t="str">
        <f t="shared" si="9"/>
        <v>21/11/2003</v>
      </c>
      <c r="H120" s="242">
        <v>21</v>
      </c>
      <c r="I120" s="242">
        <v>11</v>
      </c>
      <c r="J120" s="225">
        <v>2003</v>
      </c>
      <c r="K120" s="226" t="s">
        <v>30</v>
      </c>
      <c r="L120" s="226">
        <v>13675</v>
      </c>
      <c r="M120" s="226" t="s">
        <v>869</v>
      </c>
      <c r="N120" s="168">
        <v>2275.38</v>
      </c>
      <c r="O120" s="168"/>
      <c r="Q120" s="221">
        <v>10</v>
      </c>
      <c r="R120" s="112">
        <f t="shared" si="11"/>
        <v>18.953166666666668</v>
      </c>
      <c r="S120" s="223">
        <f t="shared" si="13"/>
        <v>2274.38</v>
      </c>
      <c r="T120" s="223">
        <f t="shared" si="12"/>
        <v>1</v>
      </c>
      <c r="U120" s="221">
        <v>2459</v>
      </c>
      <c r="V120" s="233"/>
      <c r="W120" s="223"/>
      <c r="X120" s="196">
        <f t="shared" si="10"/>
        <v>120</v>
      </c>
    </row>
    <row r="121" spans="1:24" s="221" customFormat="1">
      <c r="A121" s="226" t="s">
        <v>2299</v>
      </c>
      <c r="B121" s="226" t="s">
        <v>2288</v>
      </c>
      <c r="C121" s="226"/>
      <c r="D121" s="226" t="s">
        <v>2298</v>
      </c>
      <c r="E121" s="226"/>
      <c r="F121" s="226" t="s">
        <v>2294</v>
      </c>
      <c r="G121" s="220" t="str">
        <f t="shared" si="9"/>
        <v>12/12/2003</v>
      </c>
      <c r="H121" s="242">
        <v>12</v>
      </c>
      <c r="I121" s="242">
        <v>12</v>
      </c>
      <c r="J121" s="225">
        <v>2003</v>
      </c>
      <c r="K121" s="226" t="s">
        <v>30</v>
      </c>
      <c r="L121" s="226">
        <v>13742</v>
      </c>
      <c r="M121" s="226" t="s">
        <v>869</v>
      </c>
      <c r="N121" s="230">
        <v>5953</v>
      </c>
      <c r="O121" s="230"/>
      <c r="Q121" s="221">
        <v>10</v>
      </c>
      <c r="R121" s="112">
        <f t="shared" si="11"/>
        <v>49.6</v>
      </c>
      <c r="S121" s="223">
        <f t="shared" si="13"/>
        <v>5952</v>
      </c>
      <c r="T121" s="223">
        <f t="shared" si="12"/>
        <v>1</v>
      </c>
      <c r="U121" s="221">
        <v>2873</v>
      </c>
      <c r="V121" s="233"/>
      <c r="W121" s="223"/>
      <c r="X121" s="196">
        <f t="shared" si="10"/>
        <v>120</v>
      </c>
    </row>
    <row r="122" spans="1:24" s="221" customFormat="1">
      <c r="A122" s="226" t="s">
        <v>2297</v>
      </c>
      <c r="B122" s="226" t="s">
        <v>2288</v>
      </c>
      <c r="C122" s="226"/>
      <c r="D122" s="226" t="s">
        <v>2295</v>
      </c>
      <c r="E122" s="226"/>
      <c r="F122" s="226" t="s">
        <v>2294</v>
      </c>
      <c r="G122" s="220" t="str">
        <f t="shared" si="9"/>
        <v>12/12/2003</v>
      </c>
      <c r="H122" s="242">
        <v>12</v>
      </c>
      <c r="I122" s="242">
        <v>12</v>
      </c>
      <c r="J122" s="225">
        <v>2003</v>
      </c>
      <c r="K122" s="226" t="s">
        <v>30</v>
      </c>
      <c r="L122" s="226">
        <v>13742</v>
      </c>
      <c r="M122" s="226" t="s">
        <v>869</v>
      </c>
      <c r="N122" s="230">
        <v>4572</v>
      </c>
      <c r="O122" s="230"/>
      <c r="Q122" s="221">
        <v>10</v>
      </c>
      <c r="R122" s="112">
        <f t="shared" si="11"/>
        <v>38.091666666666669</v>
      </c>
      <c r="S122" s="223">
        <f t="shared" si="13"/>
        <v>4571</v>
      </c>
      <c r="T122" s="223">
        <f t="shared" si="12"/>
        <v>1</v>
      </c>
      <c r="U122" s="221">
        <v>2873</v>
      </c>
      <c r="V122" s="233"/>
      <c r="W122" s="223"/>
      <c r="X122" s="196">
        <f t="shared" si="10"/>
        <v>120</v>
      </c>
    </row>
    <row r="123" spans="1:24" s="221" customFormat="1">
      <c r="A123" s="226" t="s">
        <v>2296</v>
      </c>
      <c r="B123" s="226" t="s">
        <v>2288</v>
      </c>
      <c r="C123" s="226"/>
      <c r="D123" s="226" t="s">
        <v>2295</v>
      </c>
      <c r="E123" s="226"/>
      <c r="F123" s="226" t="s">
        <v>2294</v>
      </c>
      <c r="G123" s="220" t="str">
        <f t="shared" si="9"/>
        <v>12/12/2003</v>
      </c>
      <c r="H123" s="242">
        <v>12</v>
      </c>
      <c r="I123" s="242">
        <v>12</v>
      </c>
      <c r="J123" s="225">
        <v>2003</v>
      </c>
      <c r="K123" s="226" t="s">
        <v>30</v>
      </c>
      <c r="L123" s="226">
        <v>13742</v>
      </c>
      <c r="M123" s="226" t="s">
        <v>869</v>
      </c>
      <c r="N123" s="230">
        <v>4572</v>
      </c>
      <c r="O123" s="230"/>
      <c r="Q123" s="221">
        <v>10</v>
      </c>
      <c r="R123" s="112">
        <f t="shared" si="11"/>
        <v>38.091666666666669</v>
      </c>
      <c r="S123" s="223">
        <f t="shared" si="13"/>
        <v>4571</v>
      </c>
      <c r="T123" s="223">
        <f t="shared" si="12"/>
        <v>1</v>
      </c>
      <c r="U123" s="221">
        <v>2873</v>
      </c>
      <c r="V123" s="233"/>
      <c r="W123" s="223"/>
      <c r="X123" s="196">
        <f t="shared" si="10"/>
        <v>120</v>
      </c>
    </row>
    <row r="124" spans="1:24" s="221" customFormat="1">
      <c r="A124" s="226" t="s">
        <v>2293</v>
      </c>
      <c r="B124" s="206" t="s">
        <v>2288</v>
      </c>
      <c r="C124" s="226"/>
      <c r="D124" s="226" t="s">
        <v>2291</v>
      </c>
      <c r="E124" s="226"/>
      <c r="F124" s="226" t="s">
        <v>2290</v>
      </c>
      <c r="G124" s="220" t="str">
        <f t="shared" si="9"/>
        <v>21/11/2003</v>
      </c>
      <c r="H124" s="242">
        <v>21</v>
      </c>
      <c r="I124" s="242">
        <v>11</v>
      </c>
      <c r="J124" s="225">
        <v>2003</v>
      </c>
      <c r="K124" s="226" t="s">
        <v>30</v>
      </c>
      <c r="L124" s="226">
        <v>13675</v>
      </c>
      <c r="M124" s="226" t="s">
        <v>869</v>
      </c>
      <c r="N124" s="230">
        <v>4475</v>
      </c>
      <c r="O124" s="230"/>
      <c r="Q124" s="221">
        <v>10</v>
      </c>
      <c r="R124" s="112">
        <f t="shared" si="11"/>
        <v>37.283333333333331</v>
      </c>
      <c r="S124" s="223">
        <f t="shared" si="13"/>
        <v>4474</v>
      </c>
      <c r="T124" s="223">
        <f t="shared" si="12"/>
        <v>1</v>
      </c>
      <c r="U124" s="221">
        <v>2459</v>
      </c>
      <c r="V124" s="233"/>
      <c r="W124" s="223"/>
      <c r="X124" s="196">
        <f t="shared" si="10"/>
        <v>120</v>
      </c>
    </row>
    <row r="125" spans="1:24" s="221" customFormat="1">
      <c r="A125" s="226" t="s">
        <v>2292</v>
      </c>
      <c r="B125" s="206" t="s">
        <v>2288</v>
      </c>
      <c r="C125" s="226"/>
      <c r="D125" s="226" t="s">
        <v>2291</v>
      </c>
      <c r="E125" s="226"/>
      <c r="F125" s="226" t="s">
        <v>2290</v>
      </c>
      <c r="G125" s="220" t="str">
        <f t="shared" si="9"/>
        <v>21/11/2003</v>
      </c>
      <c r="H125" s="242">
        <v>21</v>
      </c>
      <c r="I125" s="242">
        <v>11</v>
      </c>
      <c r="J125" s="225">
        <v>2003</v>
      </c>
      <c r="K125" s="226" t="s">
        <v>30</v>
      </c>
      <c r="L125" s="226">
        <v>13675</v>
      </c>
      <c r="M125" s="226" t="s">
        <v>869</v>
      </c>
      <c r="N125" s="230">
        <v>4475</v>
      </c>
      <c r="O125" s="230"/>
      <c r="Q125" s="221">
        <v>10</v>
      </c>
      <c r="R125" s="112">
        <f t="shared" si="11"/>
        <v>37.283333333333331</v>
      </c>
      <c r="S125" s="223">
        <f t="shared" si="13"/>
        <v>4474</v>
      </c>
      <c r="T125" s="223">
        <f t="shared" si="12"/>
        <v>1</v>
      </c>
      <c r="U125" s="221">
        <v>2459</v>
      </c>
      <c r="V125" s="233"/>
      <c r="W125" s="223"/>
      <c r="X125" s="196">
        <f t="shared" si="10"/>
        <v>120</v>
      </c>
    </row>
    <row r="126" spans="1:24" s="221" customFormat="1">
      <c r="A126" s="226" t="s">
        <v>2289</v>
      </c>
      <c r="B126" s="226" t="s">
        <v>2288</v>
      </c>
      <c r="C126" s="226"/>
      <c r="D126" s="226" t="s">
        <v>2287</v>
      </c>
      <c r="E126" s="226"/>
      <c r="F126" s="226" t="s">
        <v>2286</v>
      </c>
      <c r="G126" s="220" t="str">
        <f t="shared" si="9"/>
        <v>23/3/2005</v>
      </c>
      <c r="H126" s="242">
        <v>23</v>
      </c>
      <c r="I126" s="242">
        <v>3</v>
      </c>
      <c r="J126" s="225">
        <v>2005</v>
      </c>
      <c r="K126" s="226" t="s">
        <v>30</v>
      </c>
      <c r="L126" s="226">
        <v>541</v>
      </c>
      <c r="M126" s="226" t="s">
        <v>869</v>
      </c>
      <c r="N126" s="230">
        <v>3730</v>
      </c>
      <c r="O126" s="230"/>
      <c r="Q126" s="221">
        <v>10</v>
      </c>
      <c r="R126" s="112">
        <f t="shared" si="11"/>
        <v>31.074999999999999</v>
      </c>
      <c r="S126" s="223">
        <f t="shared" si="13"/>
        <v>3387.1749999999997</v>
      </c>
      <c r="T126" s="223">
        <f t="shared" si="12"/>
        <v>342.82500000000027</v>
      </c>
      <c r="U126" s="221">
        <v>5915</v>
      </c>
      <c r="V126" s="233"/>
      <c r="W126" s="223"/>
      <c r="X126" s="196">
        <f t="shared" si="10"/>
        <v>109</v>
      </c>
    </row>
    <row r="127" spans="1:24" s="221" customFormat="1">
      <c r="A127" s="226" t="s">
        <v>2285</v>
      </c>
      <c r="B127" s="226" t="s">
        <v>2283</v>
      </c>
      <c r="C127" s="226"/>
      <c r="D127" s="226" t="s">
        <v>2282</v>
      </c>
      <c r="E127" s="226"/>
      <c r="F127" s="226" t="s">
        <v>2281</v>
      </c>
      <c r="G127" s="220" t="str">
        <f t="shared" si="9"/>
        <v>26/7/2005</v>
      </c>
      <c r="H127" s="242">
        <v>26</v>
      </c>
      <c r="I127" s="242">
        <v>7</v>
      </c>
      <c r="J127" s="225">
        <v>2005</v>
      </c>
      <c r="K127" s="226" t="s">
        <v>30</v>
      </c>
      <c r="L127" s="225">
        <v>335</v>
      </c>
      <c r="M127" s="226" t="s">
        <v>869</v>
      </c>
      <c r="N127" s="230">
        <v>2500</v>
      </c>
      <c r="O127" s="230"/>
      <c r="Q127" s="221">
        <v>10</v>
      </c>
      <c r="R127" s="112">
        <f t="shared" si="11"/>
        <v>20.824999999999999</v>
      </c>
      <c r="S127" s="223">
        <f t="shared" si="13"/>
        <v>2186.625</v>
      </c>
      <c r="T127" s="223">
        <f t="shared" si="12"/>
        <v>313.375</v>
      </c>
      <c r="U127" s="221">
        <v>6832</v>
      </c>
      <c r="V127" s="233"/>
      <c r="W127" s="223"/>
      <c r="X127" s="196">
        <f t="shared" si="10"/>
        <v>105</v>
      </c>
    </row>
    <row r="128" spans="1:24" s="221" customFormat="1">
      <c r="A128" s="226" t="s">
        <v>2284</v>
      </c>
      <c r="B128" s="226" t="s">
        <v>2283</v>
      </c>
      <c r="C128" s="226"/>
      <c r="D128" s="226" t="s">
        <v>2282</v>
      </c>
      <c r="E128" s="226"/>
      <c r="F128" s="226" t="s">
        <v>2281</v>
      </c>
      <c r="G128" s="220" t="str">
        <f t="shared" si="9"/>
        <v>26/7/2005</v>
      </c>
      <c r="H128" s="242">
        <v>26</v>
      </c>
      <c r="I128" s="242">
        <v>7</v>
      </c>
      <c r="J128" s="225">
        <v>2005</v>
      </c>
      <c r="K128" s="226" t="s">
        <v>30</v>
      </c>
      <c r="L128" s="225">
        <v>335</v>
      </c>
      <c r="M128" s="226" t="s">
        <v>869</v>
      </c>
      <c r="N128" s="230">
        <v>2500</v>
      </c>
      <c r="O128" s="230"/>
      <c r="Q128" s="221">
        <v>10</v>
      </c>
      <c r="R128" s="112">
        <f t="shared" si="11"/>
        <v>20.824999999999999</v>
      </c>
      <c r="S128" s="223">
        <f t="shared" si="13"/>
        <v>2186.625</v>
      </c>
      <c r="T128" s="223">
        <f t="shared" si="12"/>
        <v>313.375</v>
      </c>
      <c r="U128" s="221">
        <v>6832</v>
      </c>
      <c r="V128" s="233"/>
      <c r="W128" s="223"/>
      <c r="X128" s="196">
        <f t="shared" si="10"/>
        <v>105</v>
      </c>
    </row>
    <row r="129" spans="1:24" s="221" customFormat="1">
      <c r="A129" s="226" t="s">
        <v>2280</v>
      </c>
      <c r="B129" s="226" t="s">
        <v>2273</v>
      </c>
      <c r="C129" s="226"/>
      <c r="D129" s="226" t="s">
        <v>2278</v>
      </c>
      <c r="E129" s="226"/>
      <c r="F129" s="226"/>
      <c r="G129" s="220" t="str">
        <f t="shared" si="9"/>
        <v>//</v>
      </c>
      <c r="H129" s="242"/>
      <c r="I129" s="242"/>
      <c r="J129" s="225"/>
      <c r="K129" s="226"/>
      <c r="L129" s="225"/>
      <c r="M129" s="226" t="s">
        <v>869</v>
      </c>
      <c r="N129" s="230">
        <v>1</v>
      </c>
      <c r="O129" s="230" t="s">
        <v>1687</v>
      </c>
      <c r="Q129" s="221">
        <v>10</v>
      </c>
      <c r="R129" s="112">
        <f t="shared" si="11"/>
        <v>0</v>
      </c>
      <c r="S129" s="223">
        <v>0</v>
      </c>
      <c r="T129" s="223">
        <f t="shared" si="12"/>
        <v>1</v>
      </c>
      <c r="V129" s="233"/>
      <c r="W129" s="223"/>
      <c r="X129" s="196" t="e">
        <f t="shared" si="10"/>
        <v>#VALUE!</v>
      </c>
    </row>
    <row r="130" spans="1:24" s="221" customFormat="1">
      <c r="A130" s="226" t="s">
        <v>2279</v>
      </c>
      <c r="B130" s="226" t="s">
        <v>2273</v>
      </c>
      <c r="C130" s="226"/>
      <c r="D130" s="226" t="s">
        <v>2278</v>
      </c>
      <c r="E130" s="226"/>
      <c r="F130" s="226"/>
      <c r="G130" s="220" t="str">
        <f t="shared" si="9"/>
        <v>//</v>
      </c>
      <c r="H130" s="242"/>
      <c r="I130" s="242"/>
      <c r="J130" s="225"/>
      <c r="K130" s="226"/>
      <c r="L130" s="225"/>
      <c r="M130" s="226" t="s">
        <v>869</v>
      </c>
      <c r="N130" s="230">
        <v>1</v>
      </c>
      <c r="O130" s="230" t="s">
        <v>1687</v>
      </c>
      <c r="Q130" s="221">
        <v>10</v>
      </c>
      <c r="R130" s="112">
        <f t="shared" si="11"/>
        <v>0</v>
      </c>
      <c r="S130" s="223">
        <v>0</v>
      </c>
      <c r="T130" s="223">
        <f t="shared" si="12"/>
        <v>1</v>
      </c>
      <c r="V130" s="233"/>
      <c r="W130" s="223"/>
      <c r="X130" s="196" t="e">
        <f t="shared" si="10"/>
        <v>#VALUE!</v>
      </c>
    </row>
    <row r="131" spans="1:24" s="221" customFormat="1">
      <c r="A131" s="226" t="s">
        <v>2277</v>
      </c>
      <c r="B131" s="226" t="s">
        <v>2273</v>
      </c>
      <c r="C131" s="226"/>
      <c r="D131" s="226" t="s">
        <v>2276</v>
      </c>
      <c r="E131" s="226"/>
      <c r="F131" s="226"/>
      <c r="G131" s="220" t="str">
        <f t="shared" si="9"/>
        <v>//</v>
      </c>
      <c r="H131" s="242"/>
      <c r="I131" s="242"/>
      <c r="J131" s="225"/>
      <c r="K131" s="226"/>
      <c r="L131" s="225"/>
      <c r="M131" s="226" t="s">
        <v>869</v>
      </c>
      <c r="N131" s="230">
        <v>1</v>
      </c>
      <c r="O131" s="230" t="s">
        <v>593</v>
      </c>
      <c r="Q131" s="221">
        <v>10</v>
      </c>
      <c r="R131" s="112">
        <f t="shared" si="11"/>
        <v>0</v>
      </c>
      <c r="S131" s="223">
        <v>0</v>
      </c>
      <c r="T131" s="223">
        <f t="shared" si="12"/>
        <v>1</v>
      </c>
      <c r="V131" s="233"/>
      <c r="W131" s="223"/>
      <c r="X131" s="196" t="e">
        <f t="shared" si="10"/>
        <v>#VALUE!</v>
      </c>
    </row>
    <row r="132" spans="1:24" s="221" customFormat="1">
      <c r="A132" s="226" t="s">
        <v>2275</v>
      </c>
      <c r="B132" s="226" t="s">
        <v>2273</v>
      </c>
      <c r="C132" s="226"/>
      <c r="D132" s="226" t="s">
        <v>2272</v>
      </c>
      <c r="E132" s="226"/>
      <c r="F132" s="226"/>
      <c r="G132" s="220" t="str">
        <f t="shared" si="9"/>
        <v>//</v>
      </c>
      <c r="H132" s="242"/>
      <c r="I132" s="242"/>
      <c r="J132" s="225"/>
      <c r="K132" s="226"/>
      <c r="L132" s="225"/>
      <c r="M132" s="226" t="s">
        <v>869</v>
      </c>
      <c r="N132" s="230">
        <v>1</v>
      </c>
      <c r="O132" s="230" t="s">
        <v>593</v>
      </c>
      <c r="Q132" s="221">
        <v>10</v>
      </c>
      <c r="R132" s="112">
        <f t="shared" si="11"/>
        <v>0</v>
      </c>
      <c r="S132" s="223">
        <v>0</v>
      </c>
      <c r="T132" s="223">
        <f t="shared" si="12"/>
        <v>1</v>
      </c>
      <c r="V132" s="233"/>
      <c r="W132" s="223"/>
      <c r="X132" s="196" t="e">
        <f t="shared" si="10"/>
        <v>#VALUE!</v>
      </c>
    </row>
    <row r="133" spans="1:24" s="221" customFormat="1">
      <c r="A133" s="226" t="s">
        <v>2274</v>
      </c>
      <c r="B133" s="226" t="s">
        <v>2273</v>
      </c>
      <c r="C133" s="226"/>
      <c r="D133" s="226" t="s">
        <v>2272</v>
      </c>
      <c r="E133" s="226"/>
      <c r="F133" s="226"/>
      <c r="G133" s="220" t="str">
        <f t="shared" si="9"/>
        <v>//</v>
      </c>
      <c r="H133" s="242"/>
      <c r="I133" s="242"/>
      <c r="J133" s="225"/>
      <c r="K133" s="226"/>
      <c r="L133" s="225"/>
      <c r="M133" s="226" t="s">
        <v>869</v>
      </c>
      <c r="N133" s="230">
        <v>1</v>
      </c>
      <c r="O133" s="230" t="s">
        <v>593</v>
      </c>
      <c r="Q133" s="221">
        <v>10</v>
      </c>
      <c r="R133" s="112">
        <f t="shared" si="11"/>
        <v>0</v>
      </c>
      <c r="S133" s="223">
        <v>0</v>
      </c>
      <c r="T133" s="223">
        <f t="shared" si="12"/>
        <v>1</v>
      </c>
      <c r="V133" s="233"/>
      <c r="W133" s="223"/>
      <c r="X133" s="196" t="e">
        <f t="shared" si="10"/>
        <v>#VALUE!</v>
      </c>
    </row>
    <row r="134" spans="1:24" s="221" customFormat="1">
      <c r="A134" s="483" t="s">
        <v>2271</v>
      </c>
      <c r="B134" s="483" t="s">
        <v>2270</v>
      </c>
      <c r="C134" s="483"/>
      <c r="D134" s="483" t="s">
        <v>2269</v>
      </c>
      <c r="E134" s="483"/>
      <c r="F134" s="483"/>
      <c r="G134" s="484" t="str">
        <f t="shared" si="9"/>
        <v>//</v>
      </c>
      <c r="H134" s="485"/>
      <c r="I134" s="485"/>
      <c r="J134" s="486"/>
      <c r="K134" s="483"/>
      <c r="L134" s="483"/>
      <c r="M134" s="483" t="s">
        <v>869</v>
      </c>
      <c r="N134" s="493">
        <v>1</v>
      </c>
      <c r="O134" s="168"/>
      <c r="Q134" s="488">
        <v>10</v>
      </c>
      <c r="R134" s="489">
        <f t="shared" si="11"/>
        <v>0</v>
      </c>
      <c r="S134" s="490">
        <v>0</v>
      </c>
      <c r="T134" s="490">
        <f t="shared" si="12"/>
        <v>1</v>
      </c>
      <c r="U134" s="488"/>
      <c r="V134" s="491"/>
      <c r="W134" s="490"/>
      <c r="X134" s="492" t="e">
        <f t="shared" si="10"/>
        <v>#VALUE!</v>
      </c>
    </row>
    <row r="135" spans="1:24" s="221" customFormat="1">
      <c r="A135" s="226" t="s">
        <v>2268</v>
      </c>
      <c r="B135" s="226" t="s">
        <v>2267</v>
      </c>
      <c r="C135" s="226"/>
      <c r="D135" s="226" t="s">
        <v>2266</v>
      </c>
      <c r="E135" s="226"/>
      <c r="F135" s="226" t="s">
        <v>1739</v>
      </c>
      <c r="G135" s="220" t="str">
        <f t="shared" ref="G135:G198" si="14">CONCATENATE(H135,"/",I135,"/",J135,)</f>
        <v>12/1/2003</v>
      </c>
      <c r="H135" s="242">
        <v>12</v>
      </c>
      <c r="I135" s="242">
        <v>1</v>
      </c>
      <c r="J135" s="225">
        <v>2003</v>
      </c>
      <c r="K135" s="226" t="s">
        <v>1510</v>
      </c>
      <c r="L135" s="226">
        <v>703</v>
      </c>
      <c r="M135" s="226" t="s">
        <v>869</v>
      </c>
      <c r="N135" s="230">
        <v>21186</v>
      </c>
      <c r="O135" s="230"/>
      <c r="Q135" s="221">
        <v>10</v>
      </c>
      <c r="R135" s="112">
        <f t="shared" si="11"/>
        <v>176.54166666666666</v>
      </c>
      <c r="S135" s="223">
        <f>X135*R135</f>
        <v>21185</v>
      </c>
      <c r="T135" s="223">
        <f t="shared" si="12"/>
        <v>1</v>
      </c>
      <c r="U135" s="221">
        <v>2542</v>
      </c>
      <c r="V135" s="233"/>
      <c r="W135" s="223"/>
      <c r="X135" s="196">
        <f t="shared" ref="X135:X198" si="15">IF((DATEDIF(G135,X$4,"m"))&gt;=120,120,(DATEDIF(G135,X$4,"m")))</f>
        <v>120</v>
      </c>
    </row>
    <row r="136" spans="1:24" s="221" customFormat="1">
      <c r="A136" s="226" t="s">
        <v>2265</v>
      </c>
      <c r="B136" s="226" t="s">
        <v>2264</v>
      </c>
      <c r="C136" s="226"/>
      <c r="D136" s="226" t="s">
        <v>2263</v>
      </c>
      <c r="E136" s="226"/>
      <c r="F136" s="226"/>
      <c r="G136" s="220" t="str">
        <f t="shared" si="14"/>
        <v>//</v>
      </c>
      <c r="H136" s="242"/>
      <c r="I136" s="242"/>
      <c r="J136" s="225"/>
      <c r="K136" s="226"/>
      <c r="L136" s="226"/>
      <c r="M136" s="226" t="s">
        <v>869</v>
      </c>
      <c r="N136" s="168">
        <v>1</v>
      </c>
      <c r="O136" s="168"/>
      <c r="Q136" s="221">
        <v>10</v>
      </c>
      <c r="R136" s="112">
        <f t="shared" si="11"/>
        <v>0</v>
      </c>
      <c r="S136" s="223">
        <v>0</v>
      </c>
      <c r="T136" s="223">
        <f t="shared" si="12"/>
        <v>1</v>
      </c>
      <c r="V136" s="233"/>
      <c r="W136" s="223"/>
      <c r="X136" s="196" t="e">
        <f t="shared" si="15"/>
        <v>#VALUE!</v>
      </c>
    </row>
    <row r="137" spans="1:24" s="221" customFormat="1">
      <c r="A137" s="226" t="s">
        <v>2262</v>
      </c>
      <c r="B137" s="226" t="s">
        <v>2261</v>
      </c>
      <c r="C137" s="226"/>
      <c r="D137" s="226"/>
      <c r="E137" s="226"/>
      <c r="F137" s="226" t="s">
        <v>1739</v>
      </c>
      <c r="G137" s="220" t="str">
        <f t="shared" si="14"/>
        <v>12/8/2003</v>
      </c>
      <c r="H137" s="242">
        <v>12</v>
      </c>
      <c r="I137" s="242">
        <v>8</v>
      </c>
      <c r="J137" s="225">
        <v>2003</v>
      </c>
      <c r="K137" s="226" t="s">
        <v>1510</v>
      </c>
      <c r="L137" s="226">
        <v>727</v>
      </c>
      <c r="M137" s="226" t="s">
        <v>869</v>
      </c>
      <c r="N137" s="168">
        <v>25528.5</v>
      </c>
      <c r="O137" s="168"/>
      <c r="Q137" s="221">
        <v>10</v>
      </c>
      <c r="R137" s="112">
        <f t="shared" ref="R137:R200" si="16">(((N137)-1)/10)/12</f>
        <v>212.72916666666666</v>
      </c>
      <c r="S137" s="223">
        <f>X137*R137</f>
        <v>25527.5</v>
      </c>
      <c r="T137" s="223">
        <f t="shared" si="12"/>
        <v>1</v>
      </c>
      <c r="U137" s="221">
        <v>2710</v>
      </c>
      <c r="V137" s="233"/>
      <c r="W137" s="223"/>
      <c r="X137" s="196">
        <f t="shared" si="15"/>
        <v>120</v>
      </c>
    </row>
    <row r="138" spans="1:24" s="221" customFormat="1">
      <c r="A138" s="226" t="s">
        <v>2260</v>
      </c>
      <c r="B138" s="226" t="s">
        <v>2256</v>
      </c>
      <c r="C138" s="226" t="s">
        <v>2259</v>
      </c>
      <c r="D138" s="226" t="s">
        <v>2258</v>
      </c>
      <c r="E138" s="226"/>
      <c r="F138" s="226"/>
      <c r="G138" s="220" t="str">
        <f t="shared" si="14"/>
        <v>//</v>
      </c>
      <c r="H138" s="242"/>
      <c r="I138" s="242"/>
      <c r="J138" s="225"/>
      <c r="K138" s="226"/>
      <c r="L138" s="226"/>
      <c r="M138" s="226" t="s">
        <v>869</v>
      </c>
      <c r="N138" s="230">
        <v>1</v>
      </c>
      <c r="O138" s="230" t="s">
        <v>2252</v>
      </c>
      <c r="Q138" s="221">
        <v>5</v>
      </c>
      <c r="R138" s="112">
        <f t="shared" si="16"/>
        <v>0</v>
      </c>
      <c r="S138" s="223">
        <v>0</v>
      </c>
      <c r="T138" s="223">
        <f t="shared" ref="T138:T201" si="17">N138-S138</f>
        <v>1</v>
      </c>
      <c r="V138" s="233"/>
      <c r="W138" s="223"/>
      <c r="X138" s="196" t="e">
        <f t="shared" si="15"/>
        <v>#VALUE!</v>
      </c>
    </row>
    <row r="139" spans="1:24" s="221" customFormat="1">
      <c r="A139" s="226" t="s">
        <v>2257</v>
      </c>
      <c r="B139" s="226" t="s">
        <v>2256</v>
      </c>
      <c r="C139" s="226" t="s">
        <v>2255</v>
      </c>
      <c r="D139" s="226" t="s">
        <v>2254</v>
      </c>
      <c r="E139" s="245" t="s">
        <v>2253</v>
      </c>
      <c r="F139" s="226" t="s">
        <v>1503</v>
      </c>
      <c r="G139" s="220" t="str">
        <f t="shared" si="14"/>
        <v>28/2/2006</v>
      </c>
      <c r="H139" s="242">
        <v>28</v>
      </c>
      <c r="I139" s="242">
        <v>2</v>
      </c>
      <c r="J139" s="225">
        <v>2006</v>
      </c>
      <c r="K139" s="226" t="s">
        <v>30</v>
      </c>
      <c r="L139" s="225">
        <v>9414</v>
      </c>
      <c r="M139" s="226" t="s">
        <v>869</v>
      </c>
      <c r="N139" s="230">
        <v>12120</v>
      </c>
      <c r="O139" s="230" t="s">
        <v>2252</v>
      </c>
      <c r="Q139" s="221">
        <v>5</v>
      </c>
      <c r="R139" s="112">
        <f t="shared" si="16"/>
        <v>100.99166666666667</v>
      </c>
      <c r="S139" s="223">
        <v>12119</v>
      </c>
      <c r="T139" s="223">
        <f t="shared" si="17"/>
        <v>1</v>
      </c>
      <c r="U139" s="221">
        <v>7989</v>
      </c>
      <c r="V139" s="233"/>
      <c r="W139" s="223"/>
      <c r="X139" s="196">
        <f t="shared" si="15"/>
        <v>98</v>
      </c>
    </row>
    <row r="140" spans="1:24" s="221" customFormat="1">
      <c r="A140" s="226" t="s">
        <v>2251</v>
      </c>
      <c r="B140" s="226" t="s">
        <v>2250</v>
      </c>
      <c r="C140" s="226" t="s">
        <v>2249</v>
      </c>
      <c r="D140" s="226" t="s">
        <v>2248</v>
      </c>
      <c r="E140" s="226"/>
      <c r="F140" s="226" t="s">
        <v>1657</v>
      </c>
      <c r="G140" s="220" t="str">
        <f t="shared" si="14"/>
        <v>17/5/2005</v>
      </c>
      <c r="H140" s="242">
        <v>17</v>
      </c>
      <c r="I140" s="242">
        <v>5</v>
      </c>
      <c r="J140" s="225">
        <v>2005</v>
      </c>
      <c r="K140" s="226" t="s">
        <v>30</v>
      </c>
      <c r="L140" s="225">
        <v>8314</v>
      </c>
      <c r="M140" s="226" t="s">
        <v>869</v>
      </c>
      <c r="N140" s="230">
        <v>11091.06</v>
      </c>
      <c r="O140" s="230"/>
      <c r="Q140" s="221">
        <v>10</v>
      </c>
      <c r="R140" s="112">
        <f t="shared" si="16"/>
        <v>92.41716666666666</v>
      </c>
      <c r="S140" s="223">
        <f>X140*R140</f>
        <v>9888.6368333333321</v>
      </c>
      <c r="T140" s="223">
        <f t="shared" si="17"/>
        <v>1202.4231666666674</v>
      </c>
      <c r="U140" s="221">
        <v>6358</v>
      </c>
      <c r="V140" s="233"/>
      <c r="W140" s="223"/>
      <c r="X140" s="196">
        <f t="shared" si="15"/>
        <v>107</v>
      </c>
    </row>
    <row r="141" spans="1:24" s="221" customFormat="1">
      <c r="A141" s="226" t="s">
        <v>2247</v>
      </c>
      <c r="B141" s="226" t="s">
        <v>2246</v>
      </c>
      <c r="C141" s="226" t="s">
        <v>2245</v>
      </c>
      <c r="D141" s="226" t="s">
        <v>2244</v>
      </c>
      <c r="E141" s="226"/>
      <c r="F141" s="226"/>
      <c r="G141" s="220" t="str">
        <f t="shared" si="14"/>
        <v>31/12/2003</v>
      </c>
      <c r="H141" s="242">
        <v>31</v>
      </c>
      <c r="I141" s="242">
        <v>12</v>
      </c>
      <c r="J141" s="225">
        <v>2003</v>
      </c>
      <c r="K141" s="226"/>
      <c r="L141" s="226"/>
      <c r="M141" s="226" t="s">
        <v>869</v>
      </c>
      <c r="N141" s="168">
        <v>65590</v>
      </c>
      <c r="O141" s="168"/>
      <c r="Q141" s="221">
        <v>10</v>
      </c>
      <c r="R141" s="112">
        <f t="shared" si="16"/>
        <v>546.57499999999993</v>
      </c>
      <c r="S141" s="223">
        <f>X141*R141</f>
        <v>65588.999999999985</v>
      </c>
      <c r="T141" s="223">
        <f t="shared" si="17"/>
        <v>1.0000000000145519</v>
      </c>
      <c r="V141" s="233"/>
      <c r="W141" s="223"/>
      <c r="X141" s="196">
        <f t="shared" si="15"/>
        <v>120</v>
      </c>
    </row>
    <row r="142" spans="1:24" s="221" customFormat="1">
      <c r="A142" s="226" t="s">
        <v>2243</v>
      </c>
      <c r="B142" s="226" t="s">
        <v>2242</v>
      </c>
      <c r="C142" s="226"/>
      <c r="D142" s="226" t="s">
        <v>2241</v>
      </c>
      <c r="E142" s="226"/>
      <c r="F142" s="226" t="s">
        <v>1720</v>
      </c>
      <c r="G142" s="220" t="str">
        <f t="shared" si="14"/>
        <v>20/6/2005</v>
      </c>
      <c r="H142" s="242">
        <v>20</v>
      </c>
      <c r="I142" s="242">
        <v>6</v>
      </c>
      <c r="J142" s="225">
        <v>2005</v>
      </c>
      <c r="K142" s="226" t="s">
        <v>30</v>
      </c>
      <c r="L142" s="225">
        <v>6063</v>
      </c>
      <c r="M142" s="226" t="s">
        <v>869</v>
      </c>
      <c r="N142" s="230">
        <v>5800</v>
      </c>
      <c r="O142" s="230"/>
      <c r="Q142" s="221">
        <v>10</v>
      </c>
      <c r="R142" s="112">
        <f t="shared" si="16"/>
        <v>48.324999999999996</v>
      </c>
      <c r="S142" s="223">
        <f>X142*R142</f>
        <v>5122.45</v>
      </c>
      <c r="T142" s="223">
        <f t="shared" si="17"/>
        <v>677.55000000000018</v>
      </c>
      <c r="U142" s="221">
        <v>6492</v>
      </c>
      <c r="V142" s="233"/>
      <c r="W142" s="223"/>
      <c r="X142" s="196">
        <f t="shared" si="15"/>
        <v>106</v>
      </c>
    </row>
    <row r="143" spans="1:24" s="221" customFormat="1">
      <c r="A143" s="226" t="s">
        <v>2240</v>
      </c>
      <c r="B143" s="226" t="s">
        <v>2239</v>
      </c>
      <c r="C143" s="226"/>
      <c r="D143" s="226" t="s">
        <v>2238</v>
      </c>
      <c r="E143" s="226"/>
      <c r="F143" s="226" t="s">
        <v>962</v>
      </c>
      <c r="G143" s="220" t="str">
        <f t="shared" si="14"/>
        <v>20/12/2006</v>
      </c>
      <c r="H143" s="242">
        <v>20</v>
      </c>
      <c r="I143" s="242">
        <v>12</v>
      </c>
      <c r="J143" s="225">
        <v>2006</v>
      </c>
      <c r="K143" s="226" t="s">
        <v>1645</v>
      </c>
      <c r="L143" s="226">
        <v>1721</v>
      </c>
      <c r="M143" s="226" t="s">
        <v>869</v>
      </c>
      <c r="N143" s="230">
        <v>5220.18</v>
      </c>
      <c r="O143" s="230"/>
      <c r="Q143" s="221">
        <v>10</v>
      </c>
      <c r="R143" s="112">
        <f t="shared" si="16"/>
        <v>43.493166666666667</v>
      </c>
      <c r="S143" s="223">
        <f>X143*R143</f>
        <v>3827.3986666666669</v>
      </c>
      <c r="T143" s="223">
        <f t="shared" si="17"/>
        <v>1392.7813333333334</v>
      </c>
      <c r="U143" s="221">
        <v>9059</v>
      </c>
      <c r="V143" s="233"/>
      <c r="W143" s="223"/>
      <c r="X143" s="196">
        <f t="shared" si="15"/>
        <v>88</v>
      </c>
    </row>
    <row r="144" spans="1:24" s="221" customFormat="1">
      <c r="A144" s="226" t="s">
        <v>2237</v>
      </c>
      <c r="B144" s="226" t="s">
        <v>2236</v>
      </c>
      <c r="C144" s="226"/>
      <c r="D144" s="226" t="s">
        <v>2235</v>
      </c>
      <c r="E144" s="226"/>
      <c r="F144" s="226"/>
      <c r="G144" s="220" t="str">
        <f t="shared" si="14"/>
        <v>//</v>
      </c>
      <c r="H144" s="242"/>
      <c r="I144" s="242"/>
      <c r="J144" s="225"/>
      <c r="K144" s="226"/>
      <c r="L144" s="226"/>
      <c r="M144" s="226" t="s">
        <v>869</v>
      </c>
      <c r="N144" s="230">
        <v>1</v>
      </c>
      <c r="O144" s="230"/>
      <c r="Q144" s="221">
        <v>10</v>
      </c>
      <c r="R144" s="112">
        <f t="shared" si="16"/>
        <v>0</v>
      </c>
      <c r="S144" s="223">
        <v>0</v>
      </c>
      <c r="T144" s="223">
        <f t="shared" si="17"/>
        <v>1</v>
      </c>
      <c r="V144" s="233"/>
      <c r="W144" s="223"/>
      <c r="X144" s="196" t="e">
        <f t="shared" si="15"/>
        <v>#VALUE!</v>
      </c>
    </row>
    <row r="145" spans="1:24" s="221" customFormat="1">
      <c r="A145" s="226" t="s">
        <v>2234</v>
      </c>
      <c r="B145" s="226" t="s">
        <v>2233</v>
      </c>
      <c r="C145" s="226"/>
      <c r="D145" s="226" t="s">
        <v>2232</v>
      </c>
      <c r="E145" s="226"/>
      <c r="F145" s="226"/>
      <c r="G145" s="220" t="str">
        <f t="shared" si="14"/>
        <v>//</v>
      </c>
      <c r="H145" s="242"/>
      <c r="I145" s="242"/>
      <c r="J145" s="225"/>
      <c r="K145" s="226"/>
      <c r="L145" s="225"/>
      <c r="M145" s="226" t="s">
        <v>869</v>
      </c>
      <c r="N145" s="230">
        <v>1</v>
      </c>
      <c r="O145" s="230" t="s">
        <v>593</v>
      </c>
      <c r="Q145" s="221">
        <v>10</v>
      </c>
      <c r="R145" s="112">
        <f t="shared" si="16"/>
        <v>0</v>
      </c>
      <c r="S145" s="223">
        <v>0</v>
      </c>
      <c r="T145" s="223">
        <f t="shared" si="17"/>
        <v>1</v>
      </c>
      <c r="V145" s="233"/>
      <c r="W145" s="223"/>
      <c r="X145" s="196" t="e">
        <f t="shared" si="15"/>
        <v>#VALUE!</v>
      </c>
    </row>
    <row r="146" spans="1:24" s="221" customFormat="1">
      <c r="A146" s="226" t="s">
        <v>2231</v>
      </c>
      <c r="B146" s="226" t="s">
        <v>2230</v>
      </c>
      <c r="C146" s="226"/>
      <c r="D146" s="226" t="s">
        <v>2229</v>
      </c>
      <c r="E146" s="226"/>
      <c r="F146" s="226"/>
      <c r="G146" s="220" t="str">
        <f t="shared" si="14"/>
        <v>//</v>
      </c>
      <c r="H146" s="242"/>
      <c r="I146" s="242"/>
      <c r="J146" s="225"/>
      <c r="K146" s="226"/>
      <c r="L146" s="226"/>
      <c r="M146" s="226" t="s">
        <v>869</v>
      </c>
      <c r="N146" s="168">
        <v>1</v>
      </c>
      <c r="O146" s="168"/>
      <c r="Q146" s="221">
        <v>10</v>
      </c>
      <c r="R146" s="112">
        <f t="shared" si="16"/>
        <v>0</v>
      </c>
      <c r="S146" s="223">
        <v>0</v>
      </c>
      <c r="T146" s="223">
        <f t="shared" si="17"/>
        <v>1</v>
      </c>
      <c r="V146" s="233"/>
      <c r="W146" s="223"/>
      <c r="X146" s="196" t="e">
        <f t="shared" si="15"/>
        <v>#VALUE!</v>
      </c>
    </row>
    <row r="147" spans="1:24" s="221" customFormat="1">
      <c r="A147" s="226" t="s">
        <v>2228</v>
      </c>
      <c r="B147" s="226" t="s">
        <v>2225</v>
      </c>
      <c r="C147" s="226"/>
      <c r="D147" s="226" t="s">
        <v>2227</v>
      </c>
      <c r="E147" s="226"/>
      <c r="F147" s="226" t="s">
        <v>2043</v>
      </c>
      <c r="G147" s="220" t="str">
        <f t="shared" si="14"/>
        <v>15/11/2006</v>
      </c>
      <c r="H147" s="242">
        <v>15</v>
      </c>
      <c r="I147" s="242">
        <v>11</v>
      </c>
      <c r="J147" s="225">
        <v>2006</v>
      </c>
      <c r="K147" s="226" t="s">
        <v>1645</v>
      </c>
      <c r="L147" s="226">
        <v>1681</v>
      </c>
      <c r="M147" s="226" t="s">
        <v>869</v>
      </c>
      <c r="N147" s="230">
        <v>5950.8</v>
      </c>
      <c r="O147" s="230" t="s">
        <v>161</v>
      </c>
      <c r="Q147" s="221">
        <v>10</v>
      </c>
      <c r="R147" s="112">
        <f t="shared" si="16"/>
        <v>49.581666666666671</v>
      </c>
      <c r="S147" s="223">
        <f>X147*R147</f>
        <v>4412.7683333333334</v>
      </c>
      <c r="T147" s="223">
        <f t="shared" si="17"/>
        <v>1538.0316666666668</v>
      </c>
      <c r="V147" s="233"/>
      <c r="W147" s="223"/>
      <c r="X147" s="196">
        <f t="shared" si="15"/>
        <v>89</v>
      </c>
    </row>
    <row r="148" spans="1:24" s="221" customFormat="1">
      <c r="A148" s="226" t="s">
        <v>2226</v>
      </c>
      <c r="B148" s="226" t="s">
        <v>2225</v>
      </c>
      <c r="C148" s="226"/>
      <c r="D148" s="226" t="s">
        <v>2224</v>
      </c>
      <c r="E148" s="226"/>
      <c r="F148" s="226" t="s">
        <v>2043</v>
      </c>
      <c r="G148" s="220" t="str">
        <f t="shared" si="14"/>
        <v>15/11/2006</v>
      </c>
      <c r="H148" s="242">
        <v>15</v>
      </c>
      <c r="I148" s="242">
        <v>11</v>
      </c>
      <c r="J148" s="225">
        <v>2006</v>
      </c>
      <c r="K148" s="226" t="s">
        <v>1645</v>
      </c>
      <c r="L148" s="226">
        <v>1681</v>
      </c>
      <c r="M148" s="226" t="s">
        <v>869</v>
      </c>
      <c r="N148" s="230">
        <v>5950.8</v>
      </c>
      <c r="O148" s="230"/>
      <c r="Q148" s="221">
        <v>10</v>
      </c>
      <c r="R148" s="112">
        <f t="shared" si="16"/>
        <v>49.581666666666671</v>
      </c>
      <c r="S148" s="223">
        <f>X148*R148</f>
        <v>4412.7683333333334</v>
      </c>
      <c r="T148" s="223">
        <f t="shared" si="17"/>
        <v>1538.0316666666668</v>
      </c>
      <c r="V148" s="233"/>
      <c r="W148" s="223"/>
      <c r="X148" s="196">
        <f t="shared" si="15"/>
        <v>89</v>
      </c>
    </row>
    <row r="149" spans="1:24" s="221" customFormat="1">
      <c r="A149" s="226" t="s">
        <v>2223</v>
      </c>
      <c r="B149" s="226" t="s">
        <v>2222</v>
      </c>
      <c r="C149" s="226"/>
      <c r="D149" s="226" t="s">
        <v>2221</v>
      </c>
      <c r="E149" s="226"/>
      <c r="F149" s="226"/>
      <c r="G149" s="220" t="str">
        <f t="shared" si="14"/>
        <v>//</v>
      </c>
      <c r="H149" s="242"/>
      <c r="I149" s="242"/>
      <c r="J149" s="225"/>
      <c r="K149" s="226"/>
      <c r="L149" s="225"/>
      <c r="M149" s="226" t="s">
        <v>869</v>
      </c>
      <c r="N149" s="230">
        <v>1</v>
      </c>
      <c r="O149" s="230" t="s">
        <v>593</v>
      </c>
      <c r="Q149" s="221">
        <v>10</v>
      </c>
      <c r="R149" s="112">
        <f t="shared" si="16"/>
        <v>0</v>
      </c>
      <c r="S149" s="223">
        <v>0</v>
      </c>
      <c r="T149" s="223">
        <f t="shared" si="17"/>
        <v>1</v>
      </c>
      <c r="V149" s="233"/>
      <c r="W149" s="223"/>
      <c r="X149" s="196" t="e">
        <f t="shared" si="15"/>
        <v>#VALUE!</v>
      </c>
    </row>
    <row r="150" spans="1:24" s="221" customFormat="1">
      <c r="A150" s="226" t="s">
        <v>2220</v>
      </c>
      <c r="B150" s="226" t="s">
        <v>2219</v>
      </c>
      <c r="C150" s="226"/>
      <c r="D150" s="226" t="s">
        <v>2218</v>
      </c>
      <c r="E150" s="226"/>
      <c r="F150" s="226"/>
      <c r="G150" s="220" t="str">
        <f t="shared" si="14"/>
        <v>//</v>
      </c>
      <c r="H150" s="242"/>
      <c r="I150" s="242"/>
      <c r="J150" s="225"/>
      <c r="K150" s="226"/>
      <c r="L150" s="225"/>
      <c r="M150" s="226" t="s">
        <v>869</v>
      </c>
      <c r="N150" s="230">
        <v>1</v>
      </c>
      <c r="O150" s="230" t="s">
        <v>593</v>
      </c>
      <c r="Q150" s="221">
        <v>10</v>
      </c>
      <c r="R150" s="112">
        <f t="shared" si="16"/>
        <v>0</v>
      </c>
      <c r="S150" s="223">
        <v>0</v>
      </c>
      <c r="T150" s="223">
        <f t="shared" si="17"/>
        <v>1</v>
      </c>
      <c r="V150" s="233"/>
      <c r="W150" s="223"/>
      <c r="X150" s="196" t="e">
        <f t="shared" si="15"/>
        <v>#VALUE!</v>
      </c>
    </row>
    <row r="151" spans="1:24" s="221" customFormat="1">
      <c r="A151" s="226" t="s">
        <v>2217</v>
      </c>
      <c r="B151" s="226" t="s">
        <v>2216</v>
      </c>
      <c r="C151" s="226"/>
      <c r="D151" s="226" t="s">
        <v>2215</v>
      </c>
      <c r="E151" s="248"/>
      <c r="F151" s="248"/>
      <c r="G151" s="220" t="str">
        <f t="shared" si="14"/>
        <v>31/12/2003</v>
      </c>
      <c r="H151" s="251">
        <v>31</v>
      </c>
      <c r="I151" s="251">
        <v>12</v>
      </c>
      <c r="J151" s="250">
        <v>2003</v>
      </c>
      <c r="K151" s="248"/>
      <c r="L151" s="248"/>
      <c r="M151" s="226" t="s">
        <v>869</v>
      </c>
      <c r="N151" s="230">
        <v>2240</v>
      </c>
      <c r="O151" s="230"/>
      <c r="Q151" s="221">
        <v>10</v>
      </c>
      <c r="R151" s="112">
        <f t="shared" si="16"/>
        <v>18.658333333333335</v>
      </c>
      <c r="S151" s="223">
        <f>X151*R151</f>
        <v>2239</v>
      </c>
      <c r="T151" s="223">
        <f t="shared" si="17"/>
        <v>1</v>
      </c>
      <c r="V151" s="233"/>
      <c r="W151" s="223"/>
      <c r="X151" s="196">
        <f t="shared" si="15"/>
        <v>120</v>
      </c>
    </row>
    <row r="152" spans="1:24" s="221" customFormat="1">
      <c r="A152" s="226" t="s">
        <v>2214</v>
      </c>
      <c r="B152" s="226" t="s">
        <v>2213</v>
      </c>
      <c r="C152" s="226"/>
      <c r="D152" s="226" t="s">
        <v>2211</v>
      </c>
      <c r="E152" s="226"/>
      <c r="F152" s="226" t="s">
        <v>2210</v>
      </c>
      <c r="G152" s="220" t="str">
        <f t="shared" si="14"/>
        <v>1/3/2004</v>
      </c>
      <c r="H152" s="242">
        <v>1</v>
      </c>
      <c r="I152" s="242">
        <v>3</v>
      </c>
      <c r="J152" s="225">
        <v>2004</v>
      </c>
      <c r="K152" s="226" t="s">
        <v>30</v>
      </c>
      <c r="L152" s="226">
        <v>5528</v>
      </c>
      <c r="M152" s="226" t="s">
        <v>869</v>
      </c>
      <c r="N152" s="230">
        <v>5200</v>
      </c>
      <c r="O152" s="230"/>
      <c r="Q152" s="221">
        <v>10</v>
      </c>
      <c r="R152" s="112">
        <f t="shared" si="16"/>
        <v>43.324999999999996</v>
      </c>
      <c r="S152" s="223">
        <f>X152*R152</f>
        <v>5198.9999999999991</v>
      </c>
      <c r="T152" s="223">
        <f t="shared" si="17"/>
        <v>1.0000000000009095</v>
      </c>
      <c r="U152" s="221">
        <v>3668</v>
      </c>
      <c r="V152" s="233"/>
      <c r="W152" s="223"/>
      <c r="X152" s="196">
        <f t="shared" si="15"/>
        <v>120</v>
      </c>
    </row>
    <row r="153" spans="1:24" s="221" customFormat="1">
      <c r="A153" s="226" t="s">
        <v>2212</v>
      </c>
      <c r="B153" s="226" t="s">
        <v>2208</v>
      </c>
      <c r="C153" s="226"/>
      <c r="D153" s="226" t="s">
        <v>2211</v>
      </c>
      <c r="E153" s="226"/>
      <c r="F153" s="226" t="s">
        <v>2210</v>
      </c>
      <c r="G153" s="220" t="str">
        <f t="shared" si="14"/>
        <v>1/3/2004</v>
      </c>
      <c r="H153" s="242">
        <v>1</v>
      </c>
      <c r="I153" s="242">
        <v>3</v>
      </c>
      <c r="J153" s="225">
        <v>2004</v>
      </c>
      <c r="K153" s="226" t="s">
        <v>30</v>
      </c>
      <c r="L153" s="226">
        <v>5528</v>
      </c>
      <c r="M153" s="226" t="s">
        <v>869</v>
      </c>
      <c r="N153" s="247">
        <v>5200</v>
      </c>
      <c r="O153" s="247" t="s">
        <v>593</v>
      </c>
      <c r="Q153" s="221">
        <v>10</v>
      </c>
      <c r="R153" s="112">
        <f t="shared" si="16"/>
        <v>43.324999999999996</v>
      </c>
      <c r="S153" s="223">
        <f>X153*R153</f>
        <v>5198.9999999999991</v>
      </c>
      <c r="T153" s="223">
        <f t="shared" si="17"/>
        <v>1.0000000000009095</v>
      </c>
      <c r="U153" s="221">
        <v>3668</v>
      </c>
      <c r="V153" s="233"/>
      <c r="W153" s="223"/>
      <c r="X153" s="196">
        <f t="shared" si="15"/>
        <v>120</v>
      </c>
    </row>
    <row r="154" spans="1:24" s="221" customFormat="1">
      <c r="A154" s="226" t="s">
        <v>2209</v>
      </c>
      <c r="B154" s="226" t="s">
        <v>2208</v>
      </c>
      <c r="C154" s="226"/>
      <c r="D154" s="226" t="s">
        <v>2205</v>
      </c>
      <c r="E154" s="226"/>
      <c r="F154" s="226" t="s">
        <v>1720</v>
      </c>
      <c r="G154" s="220" t="str">
        <f t="shared" si="14"/>
        <v>1/3/2004</v>
      </c>
      <c r="H154" s="242">
        <v>1</v>
      </c>
      <c r="I154" s="242">
        <v>3</v>
      </c>
      <c r="J154" s="225">
        <v>2004</v>
      </c>
      <c r="K154" s="226" t="s">
        <v>30</v>
      </c>
      <c r="L154" s="226">
        <v>5528</v>
      </c>
      <c r="M154" s="226" t="s">
        <v>869</v>
      </c>
      <c r="N154" s="252">
        <v>5200</v>
      </c>
      <c r="O154" s="252" t="s">
        <v>593</v>
      </c>
      <c r="Q154" s="221">
        <v>10</v>
      </c>
      <c r="R154" s="112">
        <f t="shared" si="16"/>
        <v>43.324999999999996</v>
      </c>
      <c r="S154" s="223">
        <f>X154*R154</f>
        <v>5198.9999999999991</v>
      </c>
      <c r="T154" s="223">
        <f t="shared" si="17"/>
        <v>1.0000000000009095</v>
      </c>
      <c r="U154" s="221">
        <v>3668</v>
      </c>
      <c r="V154" s="233"/>
      <c r="W154" s="223"/>
      <c r="X154" s="196">
        <f t="shared" si="15"/>
        <v>120</v>
      </c>
    </row>
    <row r="155" spans="1:24" s="221" customFormat="1">
      <c r="A155" s="226" t="s">
        <v>2207</v>
      </c>
      <c r="B155" s="226" t="s">
        <v>2206</v>
      </c>
      <c r="C155" s="226"/>
      <c r="D155" s="226" t="s">
        <v>2205</v>
      </c>
      <c r="E155" s="226"/>
      <c r="F155" s="226" t="s">
        <v>1720</v>
      </c>
      <c r="G155" s="220" t="str">
        <f t="shared" si="14"/>
        <v>1/3/2004</v>
      </c>
      <c r="H155" s="242">
        <v>1</v>
      </c>
      <c r="I155" s="242">
        <v>3</v>
      </c>
      <c r="J155" s="225">
        <v>2004</v>
      </c>
      <c r="K155" s="226" t="s">
        <v>30</v>
      </c>
      <c r="L155" s="226">
        <v>5528</v>
      </c>
      <c r="M155" s="226" t="s">
        <v>869</v>
      </c>
      <c r="N155" s="252">
        <v>5200</v>
      </c>
      <c r="O155" s="252"/>
      <c r="Q155" s="221">
        <v>10</v>
      </c>
      <c r="R155" s="112">
        <f t="shared" si="16"/>
        <v>43.324999999999996</v>
      </c>
      <c r="S155" s="223">
        <f>X155*R155</f>
        <v>5198.9999999999991</v>
      </c>
      <c r="T155" s="223">
        <f t="shared" si="17"/>
        <v>1.0000000000009095</v>
      </c>
      <c r="U155" s="221">
        <v>3668</v>
      </c>
      <c r="V155" s="233"/>
      <c r="W155" s="223"/>
      <c r="X155" s="196">
        <f t="shared" si="15"/>
        <v>120</v>
      </c>
    </row>
    <row r="156" spans="1:24" s="221" customFormat="1">
      <c r="A156" s="483" t="s">
        <v>2204</v>
      </c>
      <c r="B156" s="483" t="s">
        <v>2203</v>
      </c>
      <c r="C156" s="483"/>
      <c r="D156" s="483" t="s">
        <v>2202</v>
      </c>
      <c r="E156" s="483"/>
      <c r="F156" s="483"/>
      <c r="G156" s="484" t="str">
        <f t="shared" si="14"/>
        <v>//</v>
      </c>
      <c r="H156" s="485"/>
      <c r="I156" s="485"/>
      <c r="J156" s="486"/>
      <c r="K156" s="483"/>
      <c r="L156" s="483"/>
      <c r="M156" s="483" t="s">
        <v>869</v>
      </c>
      <c r="N156" s="487">
        <v>1</v>
      </c>
      <c r="O156" s="230"/>
      <c r="Q156" s="488">
        <v>10</v>
      </c>
      <c r="R156" s="489">
        <f t="shared" si="16"/>
        <v>0</v>
      </c>
      <c r="S156" s="490">
        <v>0</v>
      </c>
      <c r="T156" s="490">
        <f t="shared" si="17"/>
        <v>1</v>
      </c>
      <c r="U156" s="488"/>
      <c r="V156" s="491"/>
      <c r="W156" s="490"/>
      <c r="X156" s="492" t="e">
        <f t="shared" si="15"/>
        <v>#VALUE!</v>
      </c>
    </row>
    <row r="157" spans="1:24" s="221" customFormat="1">
      <c r="A157" s="226" t="s">
        <v>2201</v>
      </c>
      <c r="B157" s="226" t="s">
        <v>2198</v>
      </c>
      <c r="C157" s="226"/>
      <c r="D157" s="226" t="s">
        <v>2182</v>
      </c>
      <c r="E157" s="226"/>
      <c r="F157" s="226"/>
      <c r="G157" s="220" t="str">
        <f t="shared" si="14"/>
        <v>//</v>
      </c>
      <c r="H157" s="242"/>
      <c r="I157" s="242"/>
      <c r="J157" s="225"/>
      <c r="K157" s="226"/>
      <c r="L157" s="226"/>
      <c r="M157" s="226" t="s">
        <v>869</v>
      </c>
      <c r="N157" s="230">
        <v>1</v>
      </c>
      <c r="O157" s="230"/>
      <c r="Q157" s="221">
        <v>10</v>
      </c>
      <c r="R157" s="112">
        <f t="shared" si="16"/>
        <v>0</v>
      </c>
      <c r="S157" s="223">
        <v>0</v>
      </c>
      <c r="T157" s="223">
        <f t="shared" si="17"/>
        <v>1</v>
      </c>
      <c r="V157" s="233"/>
      <c r="W157" s="223"/>
      <c r="X157" s="196" t="e">
        <f t="shared" si="15"/>
        <v>#VALUE!</v>
      </c>
    </row>
    <row r="158" spans="1:24" s="221" customFormat="1">
      <c r="A158" s="226" t="s">
        <v>2200</v>
      </c>
      <c r="B158" s="226" t="s">
        <v>2198</v>
      </c>
      <c r="C158" s="226"/>
      <c r="D158" s="226" t="s">
        <v>2182</v>
      </c>
      <c r="E158" s="226"/>
      <c r="F158" s="226"/>
      <c r="G158" s="220" t="str">
        <f t="shared" si="14"/>
        <v>//</v>
      </c>
      <c r="H158" s="242"/>
      <c r="I158" s="242"/>
      <c r="J158" s="225"/>
      <c r="K158" s="226"/>
      <c r="L158" s="226"/>
      <c r="M158" s="226" t="s">
        <v>869</v>
      </c>
      <c r="N158" s="230">
        <v>1</v>
      </c>
      <c r="O158" s="230"/>
      <c r="Q158" s="221">
        <v>10</v>
      </c>
      <c r="R158" s="112">
        <f t="shared" si="16"/>
        <v>0</v>
      </c>
      <c r="S158" s="223">
        <v>0</v>
      </c>
      <c r="T158" s="223">
        <f t="shared" si="17"/>
        <v>1</v>
      </c>
      <c r="V158" s="233"/>
      <c r="W158" s="223"/>
      <c r="X158" s="196" t="e">
        <f t="shared" si="15"/>
        <v>#VALUE!</v>
      </c>
    </row>
    <row r="159" spans="1:24" s="221" customFormat="1">
      <c r="A159" s="226" t="s">
        <v>2199</v>
      </c>
      <c r="B159" s="226" t="s">
        <v>2198</v>
      </c>
      <c r="C159" s="226"/>
      <c r="D159" s="226" t="s">
        <v>2197</v>
      </c>
      <c r="E159" s="226"/>
      <c r="F159" s="226"/>
      <c r="G159" s="220" t="str">
        <f t="shared" si="14"/>
        <v>31/12/2003</v>
      </c>
      <c r="H159" s="242">
        <v>31</v>
      </c>
      <c r="I159" s="242">
        <v>12</v>
      </c>
      <c r="J159" s="225">
        <v>2003</v>
      </c>
      <c r="K159" s="226"/>
      <c r="L159" s="226"/>
      <c r="M159" s="226" t="s">
        <v>869</v>
      </c>
      <c r="N159" s="230">
        <v>2600</v>
      </c>
      <c r="O159" s="230"/>
      <c r="Q159" s="221">
        <v>10</v>
      </c>
      <c r="R159" s="112">
        <f t="shared" si="16"/>
        <v>21.658333333333331</v>
      </c>
      <c r="S159" s="223">
        <f>X159*R159</f>
        <v>2599</v>
      </c>
      <c r="T159" s="223">
        <f t="shared" si="17"/>
        <v>1</v>
      </c>
      <c r="V159" s="233"/>
      <c r="W159" s="223"/>
      <c r="X159" s="196">
        <f t="shared" si="15"/>
        <v>120</v>
      </c>
    </row>
    <row r="160" spans="1:24" s="221" customFormat="1">
      <c r="A160" s="226" t="s">
        <v>2196</v>
      </c>
      <c r="B160" s="226" t="s">
        <v>2195</v>
      </c>
      <c r="C160" s="226"/>
      <c r="D160" s="226" t="s">
        <v>2194</v>
      </c>
      <c r="E160" s="226"/>
      <c r="F160" s="226"/>
      <c r="G160" s="220" t="str">
        <f t="shared" si="14"/>
        <v>//</v>
      </c>
      <c r="H160" s="242"/>
      <c r="I160" s="242"/>
      <c r="J160" s="225"/>
      <c r="K160" s="226"/>
      <c r="L160" s="226"/>
      <c r="M160" s="226" t="s">
        <v>869</v>
      </c>
      <c r="N160" s="230">
        <v>1</v>
      </c>
      <c r="O160" s="230"/>
      <c r="Q160" s="221">
        <v>10</v>
      </c>
      <c r="R160" s="112">
        <f t="shared" si="16"/>
        <v>0</v>
      </c>
      <c r="S160" s="223">
        <v>0</v>
      </c>
      <c r="T160" s="223">
        <f t="shared" si="17"/>
        <v>1</v>
      </c>
      <c r="V160" s="233"/>
      <c r="W160" s="223"/>
      <c r="X160" s="196" t="e">
        <f t="shared" si="15"/>
        <v>#VALUE!</v>
      </c>
    </row>
    <row r="161" spans="1:24" s="221" customFormat="1">
      <c r="A161" s="483" t="s">
        <v>2193</v>
      </c>
      <c r="B161" s="483" t="s">
        <v>2192</v>
      </c>
      <c r="C161" s="483"/>
      <c r="D161" s="483" t="s">
        <v>2191</v>
      </c>
      <c r="E161" s="483"/>
      <c r="F161" s="483" t="s">
        <v>1972</v>
      </c>
      <c r="G161" s="484" t="str">
        <f t="shared" si="14"/>
        <v>13/1/2003</v>
      </c>
      <c r="H161" s="485">
        <v>13</v>
      </c>
      <c r="I161" s="485">
        <v>1</v>
      </c>
      <c r="J161" s="486">
        <v>2003</v>
      </c>
      <c r="K161" s="483" t="s">
        <v>30</v>
      </c>
      <c r="L161" s="483">
        <v>26690</v>
      </c>
      <c r="M161" s="483" t="s">
        <v>869</v>
      </c>
      <c r="N161" s="494">
        <v>2284.8000000000002</v>
      </c>
      <c r="O161" s="252"/>
      <c r="Q161" s="488">
        <v>10</v>
      </c>
      <c r="R161" s="489">
        <f t="shared" si="16"/>
        <v>19.03166666666667</v>
      </c>
      <c r="S161" s="490">
        <f t="shared" ref="S161:S180" si="18">X161*R161</f>
        <v>2283.8000000000002</v>
      </c>
      <c r="T161" s="490">
        <f t="shared" si="17"/>
        <v>1</v>
      </c>
      <c r="U161" s="488">
        <v>912</v>
      </c>
      <c r="V161" s="491"/>
      <c r="W161" s="490"/>
      <c r="X161" s="492">
        <f t="shared" si="15"/>
        <v>120</v>
      </c>
    </row>
    <row r="162" spans="1:24" s="221" customFormat="1">
      <c r="A162" s="226" t="s">
        <v>2190</v>
      </c>
      <c r="B162" s="226" t="s">
        <v>2189</v>
      </c>
      <c r="C162" s="226"/>
      <c r="D162" s="226" t="s">
        <v>2188</v>
      </c>
      <c r="E162" s="226"/>
      <c r="F162" s="226" t="s">
        <v>1972</v>
      </c>
      <c r="G162" s="220" t="str">
        <f t="shared" si="14"/>
        <v>25/4/2003</v>
      </c>
      <c r="H162" s="242">
        <v>25</v>
      </c>
      <c r="I162" s="242">
        <v>4</v>
      </c>
      <c r="J162" s="225">
        <v>2003</v>
      </c>
      <c r="K162" s="226" t="s">
        <v>30</v>
      </c>
      <c r="L162" s="226">
        <v>28496</v>
      </c>
      <c r="M162" s="226" t="s">
        <v>869</v>
      </c>
      <c r="N162" s="230">
        <v>3080</v>
      </c>
      <c r="O162" s="230"/>
      <c r="Q162" s="221">
        <v>10</v>
      </c>
      <c r="R162" s="112">
        <f t="shared" si="16"/>
        <v>25.658333333333331</v>
      </c>
      <c r="S162" s="223">
        <f t="shared" si="18"/>
        <v>3079</v>
      </c>
      <c r="T162" s="223">
        <f t="shared" si="17"/>
        <v>1</v>
      </c>
      <c r="U162" s="221">
        <v>1259</v>
      </c>
      <c r="V162" s="233"/>
      <c r="W162" s="223"/>
      <c r="X162" s="196">
        <f t="shared" si="15"/>
        <v>120</v>
      </c>
    </row>
    <row r="163" spans="1:24" s="221" customFormat="1">
      <c r="A163" s="226" t="s">
        <v>2187</v>
      </c>
      <c r="B163" s="226" t="s">
        <v>2186</v>
      </c>
      <c r="C163" s="226"/>
      <c r="D163" s="226" t="s">
        <v>2185</v>
      </c>
      <c r="E163" s="248"/>
      <c r="F163" s="248" t="s">
        <v>1972</v>
      </c>
      <c r="G163" s="220" t="str">
        <f t="shared" si="14"/>
        <v>25/4/2003</v>
      </c>
      <c r="H163" s="251">
        <v>25</v>
      </c>
      <c r="I163" s="251">
        <v>4</v>
      </c>
      <c r="J163" s="250">
        <v>2003</v>
      </c>
      <c r="K163" s="248" t="s">
        <v>30</v>
      </c>
      <c r="L163" s="250">
        <v>28496</v>
      </c>
      <c r="M163" s="226" t="s">
        <v>869</v>
      </c>
      <c r="N163" s="230">
        <v>3080</v>
      </c>
      <c r="O163" s="230" t="s">
        <v>593</v>
      </c>
      <c r="Q163" s="221">
        <v>10</v>
      </c>
      <c r="R163" s="112">
        <f t="shared" si="16"/>
        <v>25.658333333333331</v>
      </c>
      <c r="S163" s="223">
        <f t="shared" si="18"/>
        <v>3079</v>
      </c>
      <c r="T163" s="223">
        <f t="shared" si="17"/>
        <v>1</v>
      </c>
      <c r="U163" s="221">
        <v>1259</v>
      </c>
      <c r="V163" s="233"/>
      <c r="W163" s="223"/>
      <c r="X163" s="196">
        <f t="shared" si="15"/>
        <v>120</v>
      </c>
    </row>
    <row r="164" spans="1:24" s="221" customFormat="1">
      <c r="A164" s="226" t="s">
        <v>2184</v>
      </c>
      <c r="B164" s="226" t="s">
        <v>2183</v>
      </c>
      <c r="C164" s="226"/>
      <c r="D164" s="226" t="s">
        <v>2182</v>
      </c>
      <c r="E164" s="226"/>
      <c r="F164" s="226" t="s">
        <v>1972</v>
      </c>
      <c r="G164" s="220" t="str">
        <f t="shared" si="14"/>
        <v>16/1/2003</v>
      </c>
      <c r="H164" s="242">
        <v>16</v>
      </c>
      <c r="I164" s="242">
        <v>1</v>
      </c>
      <c r="J164" s="225">
        <v>2003</v>
      </c>
      <c r="K164" s="226" t="s">
        <v>30</v>
      </c>
      <c r="L164" s="226">
        <v>26779</v>
      </c>
      <c r="M164" s="226" t="s">
        <v>869</v>
      </c>
      <c r="N164" s="230">
        <v>2284.8000000000002</v>
      </c>
      <c r="O164" s="230" t="s">
        <v>593</v>
      </c>
      <c r="Q164" s="221">
        <v>10</v>
      </c>
      <c r="R164" s="112">
        <f t="shared" si="16"/>
        <v>19.03166666666667</v>
      </c>
      <c r="S164" s="223">
        <f t="shared" si="18"/>
        <v>2283.8000000000002</v>
      </c>
      <c r="T164" s="223">
        <f t="shared" si="17"/>
        <v>1</v>
      </c>
      <c r="U164" s="221">
        <v>913</v>
      </c>
      <c r="V164" s="233"/>
      <c r="W164" s="223"/>
      <c r="X164" s="196">
        <f t="shared" si="15"/>
        <v>120</v>
      </c>
    </row>
    <row r="165" spans="1:24" s="221" customFormat="1" ht="31.5">
      <c r="A165" s="226" t="s">
        <v>2181</v>
      </c>
      <c r="B165" s="226" t="s">
        <v>2180</v>
      </c>
      <c r="C165" s="226" t="s">
        <v>2000</v>
      </c>
      <c r="D165" s="226" t="s">
        <v>2179</v>
      </c>
      <c r="E165" s="226"/>
      <c r="F165" s="226" t="s">
        <v>492</v>
      </c>
      <c r="G165" s="220" t="str">
        <f t="shared" si="14"/>
        <v>20/12/2007</v>
      </c>
      <c r="H165" s="242">
        <v>20</v>
      </c>
      <c r="I165" s="242">
        <v>12</v>
      </c>
      <c r="J165" s="225">
        <v>2007</v>
      </c>
      <c r="K165" s="226" t="s">
        <v>30</v>
      </c>
      <c r="L165" s="226">
        <v>150008</v>
      </c>
      <c r="M165" s="226" t="s">
        <v>869</v>
      </c>
      <c r="N165" s="168">
        <v>5187.5200000000004</v>
      </c>
      <c r="O165" s="244" t="s">
        <v>2178</v>
      </c>
      <c r="Q165" s="221">
        <v>10</v>
      </c>
      <c r="R165" s="112">
        <f t="shared" si="16"/>
        <v>43.221000000000004</v>
      </c>
      <c r="S165" s="223">
        <f t="shared" si="18"/>
        <v>3284.7960000000003</v>
      </c>
      <c r="T165" s="223">
        <f t="shared" si="17"/>
        <v>1902.7240000000002</v>
      </c>
      <c r="U165" s="221">
        <v>10394</v>
      </c>
      <c r="V165" s="233"/>
      <c r="W165" s="223"/>
      <c r="X165" s="196">
        <f t="shared" si="15"/>
        <v>76</v>
      </c>
    </row>
    <row r="166" spans="1:24" s="221" customFormat="1">
      <c r="A166" s="226" t="s">
        <v>2177</v>
      </c>
      <c r="B166" s="226" t="s">
        <v>2174</v>
      </c>
      <c r="C166" s="226"/>
      <c r="D166" s="226" t="s">
        <v>2176</v>
      </c>
      <c r="E166" s="226"/>
      <c r="F166" s="226" t="s">
        <v>1739</v>
      </c>
      <c r="G166" s="220" t="str">
        <f t="shared" si="14"/>
        <v>28/11/2003</v>
      </c>
      <c r="H166" s="242">
        <v>28</v>
      </c>
      <c r="I166" s="242">
        <v>11</v>
      </c>
      <c r="J166" s="225">
        <v>2003</v>
      </c>
      <c r="K166" s="226" t="s">
        <v>1510</v>
      </c>
      <c r="L166" s="226">
        <v>697</v>
      </c>
      <c r="M166" s="226" t="s">
        <v>869</v>
      </c>
      <c r="N166" s="230">
        <v>23328</v>
      </c>
      <c r="O166" s="230" t="s">
        <v>1591</v>
      </c>
      <c r="Q166" s="221">
        <v>10</v>
      </c>
      <c r="R166" s="112">
        <f t="shared" si="16"/>
        <v>194.39166666666665</v>
      </c>
      <c r="S166" s="223">
        <f t="shared" si="18"/>
        <v>23327</v>
      </c>
      <c r="T166" s="223">
        <f t="shared" si="17"/>
        <v>1</v>
      </c>
      <c r="U166" s="221">
        <v>2533</v>
      </c>
      <c r="V166" s="233"/>
      <c r="W166" s="223"/>
      <c r="X166" s="196">
        <f t="shared" si="15"/>
        <v>120</v>
      </c>
    </row>
    <row r="167" spans="1:24" s="221" customFormat="1">
      <c r="A167" s="226" t="s">
        <v>2175</v>
      </c>
      <c r="B167" s="226" t="s">
        <v>2174</v>
      </c>
      <c r="C167" s="226"/>
      <c r="D167" s="226"/>
      <c r="E167" s="226"/>
      <c r="F167" s="226" t="s">
        <v>1739</v>
      </c>
      <c r="G167" s="220" t="str">
        <f t="shared" si="14"/>
        <v>10/1/2003</v>
      </c>
      <c r="H167" s="242">
        <v>10</v>
      </c>
      <c r="I167" s="242">
        <v>1</v>
      </c>
      <c r="J167" s="225">
        <v>2003</v>
      </c>
      <c r="K167" s="226" t="s">
        <v>1510</v>
      </c>
      <c r="L167" s="226">
        <v>694</v>
      </c>
      <c r="M167" s="226" t="s">
        <v>869</v>
      </c>
      <c r="N167" s="230">
        <v>23328</v>
      </c>
      <c r="O167" s="230"/>
      <c r="Q167" s="221">
        <v>10</v>
      </c>
      <c r="R167" s="112">
        <f t="shared" si="16"/>
        <v>194.39166666666665</v>
      </c>
      <c r="S167" s="223">
        <f t="shared" si="18"/>
        <v>23327</v>
      </c>
      <c r="T167" s="223">
        <f t="shared" si="17"/>
        <v>1</v>
      </c>
      <c r="U167" s="221">
        <v>2533</v>
      </c>
      <c r="V167" s="233"/>
      <c r="W167" s="223"/>
      <c r="X167" s="196">
        <f t="shared" si="15"/>
        <v>120</v>
      </c>
    </row>
    <row r="168" spans="1:24" s="221" customFormat="1">
      <c r="A168" s="226" t="s">
        <v>2173</v>
      </c>
      <c r="B168" s="226" t="s">
        <v>2172</v>
      </c>
      <c r="C168" s="226"/>
      <c r="D168" s="226" t="s">
        <v>2171</v>
      </c>
      <c r="E168" s="226"/>
      <c r="F168" s="226" t="s">
        <v>1724</v>
      </c>
      <c r="G168" s="220" t="str">
        <f t="shared" si="14"/>
        <v>2/2/2005</v>
      </c>
      <c r="H168" s="242">
        <v>2</v>
      </c>
      <c r="I168" s="242">
        <v>2</v>
      </c>
      <c r="J168" s="225">
        <v>2005</v>
      </c>
      <c r="K168" s="226" t="s">
        <v>30</v>
      </c>
      <c r="L168" s="226">
        <v>6053</v>
      </c>
      <c r="M168" s="226" t="s">
        <v>869</v>
      </c>
      <c r="N168" s="230">
        <v>14812</v>
      </c>
      <c r="O168" s="230"/>
      <c r="Q168" s="221">
        <v>10</v>
      </c>
      <c r="R168" s="112">
        <f t="shared" si="16"/>
        <v>123.425</v>
      </c>
      <c r="S168" s="223">
        <f t="shared" si="18"/>
        <v>13576.75</v>
      </c>
      <c r="T168" s="223">
        <f t="shared" si="17"/>
        <v>1235.25</v>
      </c>
      <c r="U168" s="221">
        <v>5561</v>
      </c>
      <c r="V168" s="233"/>
      <c r="W168" s="223"/>
      <c r="X168" s="196">
        <f t="shared" si="15"/>
        <v>110</v>
      </c>
    </row>
    <row r="169" spans="1:24" s="221" customFormat="1">
      <c r="A169" s="226" t="s">
        <v>2170</v>
      </c>
      <c r="B169" s="226" t="s">
        <v>2169</v>
      </c>
      <c r="C169" s="226"/>
      <c r="D169" s="226"/>
      <c r="E169" s="226"/>
      <c r="F169" s="226" t="s">
        <v>1739</v>
      </c>
      <c r="G169" s="220" t="str">
        <f t="shared" si="14"/>
        <v>10/1/2003</v>
      </c>
      <c r="H169" s="242">
        <v>10</v>
      </c>
      <c r="I169" s="242">
        <v>1</v>
      </c>
      <c r="J169" s="225">
        <v>2003</v>
      </c>
      <c r="K169" s="226" t="s">
        <v>1510</v>
      </c>
      <c r="L169" s="226">
        <v>694</v>
      </c>
      <c r="M169" s="226" t="s">
        <v>869</v>
      </c>
      <c r="N169" s="230">
        <v>13833</v>
      </c>
      <c r="O169" s="230"/>
      <c r="Q169" s="221">
        <v>10</v>
      </c>
      <c r="R169" s="112">
        <f t="shared" si="16"/>
        <v>115.26666666666667</v>
      </c>
      <c r="S169" s="223">
        <f t="shared" si="18"/>
        <v>13832</v>
      </c>
      <c r="T169" s="223">
        <f t="shared" si="17"/>
        <v>1</v>
      </c>
      <c r="U169" s="221">
        <v>2533</v>
      </c>
      <c r="V169" s="233"/>
      <c r="W169" s="223"/>
      <c r="X169" s="196">
        <f t="shared" si="15"/>
        <v>120</v>
      </c>
    </row>
    <row r="170" spans="1:24" s="221" customFormat="1">
      <c r="A170" s="226" t="s">
        <v>2168</v>
      </c>
      <c r="B170" s="226" t="s">
        <v>2167</v>
      </c>
      <c r="C170" s="226"/>
      <c r="D170" s="226"/>
      <c r="E170" s="226"/>
      <c r="F170" s="226" t="s">
        <v>1739</v>
      </c>
      <c r="G170" s="220" t="str">
        <f t="shared" si="14"/>
        <v>19/12/2003</v>
      </c>
      <c r="H170" s="242">
        <v>19</v>
      </c>
      <c r="I170" s="242">
        <v>12</v>
      </c>
      <c r="J170" s="225">
        <v>2003</v>
      </c>
      <c r="K170" s="226" t="s">
        <v>1510</v>
      </c>
      <c r="L170" s="226">
        <v>768</v>
      </c>
      <c r="M170" s="226" t="s">
        <v>869</v>
      </c>
      <c r="N170" s="168">
        <v>14824.05</v>
      </c>
      <c r="O170" s="168"/>
      <c r="Q170" s="221">
        <v>10</v>
      </c>
      <c r="R170" s="112">
        <f t="shared" si="16"/>
        <v>123.52541666666666</v>
      </c>
      <c r="S170" s="223">
        <f t="shared" si="18"/>
        <v>14823.05</v>
      </c>
      <c r="T170" s="223">
        <f t="shared" si="17"/>
        <v>1</v>
      </c>
      <c r="U170" s="221">
        <v>2895</v>
      </c>
      <c r="V170" s="233"/>
      <c r="W170" s="223"/>
      <c r="X170" s="196">
        <f t="shared" si="15"/>
        <v>120</v>
      </c>
    </row>
    <row r="171" spans="1:24" s="221" customFormat="1">
      <c r="A171" s="226" t="s">
        <v>2166</v>
      </c>
      <c r="B171" s="226" t="s">
        <v>2165</v>
      </c>
      <c r="C171" s="226"/>
      <c r="D171" s="226"/>
      <c r="E171" s="226"/>
      <c r="F171" s="226" t="s">
        <v>1724</v>
      </c>
      <c r="G171" s="220" t="str">
        <f t="shared" si="14"/>
        <v>2/2/2005</v>
      </c>
      <c r="H171" s="242">
        <v>2</v>
      </c>
      <c r="I171" s="242">
        <v>2</v>
      </c>
      <c r="J171" s="225">
        <v>2005</v>
      </c>
      <c r="K171" s="226" t="s">
        <v>30</v>
      </c>
      <c r="L171" s="226">
        <v>6053</v>
      </c>
      <c r="M171" s="226" t="s">
        <v>869</v>
      </c>
      <c r="N171" s="230">
        <v>492</v>
      </c>
      <c r="O171" s="230"/>
      <c r="Q171" s="221">
        <v>10</v>
      </c>
      <c r="R171" s="112">
        <f t="shared" si="16"/>
        <v>4.0916666666666668</v>
      </c>
      <c r="S171" s="223">
        <f t="shared" si="18"/>
        <v>450.08333333333337</v>
      </c>
      <c r="T171" s="223">
        <f t="shared" si="17"/>
        <v>41.916666666666629</v>
      </c>
      <c r="U171" s="221">
        <v>5561</v>
      </c>
      <c r="V171" s="233"/>
      <c r="W171" s="223"/>
      <c r="X171" s="196">
        <f t="shared" si="15"/>
        <v>110</v>
      </c>
    </row>
    <row r="172" spans="1:24" s="221" customFormat="1">
      <c r="A172" s="226" t="s">
        <v>2164</v>
      </c>
      <c r="B172" s="226" t="s">
        <v>2163</v>
      </c>
      <c r="C172" s="226"/>
      <c r="D172" s="226" t="s">
        <v>2162</v>
      </c>
      <c r="E172" s="226"/>
      <c r="F172" s="226" t="s">
        <v>2161</v>
      </c>
      <c r="G172" s="220" t="str">
        <f t="shared" si="14"/>
        <v>28/11/2003</v>
      </c>
      <c r="H172" s="242">
        <v>28</v>
      </c>
      <c r="I172" s="242">
        <v>11</v>
      </c>
      <c r="J172" s="225">
        <v>2003</v>
      </c>
      <c r="K172" s="226" t="s">
        <v>1645</v>
      </c>
      <c r="L172" s="226">
        <v>695</v>
      </c>
      <c r="M172" s="226" t="s">
        <v>869</v>
      </c>
      <c r="N172" s="230">
        <v>25246.799999999999</v>
      </c>
      <c r="O172" s="230" t="s">
        <v>2160</v>
      </c>
      <c r="Q172" s="221">
        <v>10</v>
      </c>
      <c r="R172" s="112">
        <f t="shared" si="16"/>
        <v>210.38166666666666</v>
      </c>
      <c r="S172" s="223">
        <f t="shared" si="18"/>
        <v>25245.8</v>
      </c>
      <c r="T172" s="223">
        <f t="shared" si="17"/>
        <v>1</v>
      </c>
      <c r="U172" s="221">
        <v>2532</v>
      </c>
      <c r="V172" s="233"/>
      <c r="W172" s="223"/>
      <c r="X172" s="196">
        <f t="shared" si="15"/>
        <v>120</v>
      </c>
    </row>
    <row r="173" spans="1:24" s="221" customFormat="1">
      <c r="A173" s="483" t="s">
        <v>2159</v>
      </c>
      <c r="B173" s="483" t="s">
        <v>2156</v>
      </c>
      <c r="C173" s="483"/>
      <c r="D173" s="483"/>
      <c r="E173" s="483"/>
      <c r="F173" s="483" t="s">
        <v>1739</v>
      </c>
      <c r="G173" s="484" t="str">
        <f t="shared" si="14"/>
        <v>11/8/2003</v>
      </c>
      <c r="H173" s="485">
        <v>11</v>
      </c>
      <c r="I173" s="485">
        <v>8</v>
      </c>
      <c r="J173" s="486">
        <v>2003</v>
      </c>
      <c r="K173" s="483" t="s">
        <v>1510</v>
      </c>
      <c r="L173" s="483">
        <v>695</v>
      </c>
      <c r="M173" s="483" t="s">
        <v>869</v>
      </c>
      <c r="N173" s="487">
        <v>17697.599999999999</v>
      </c>
      <c r="O173" s="230" t="s">
        <v>2158</v>
      </c>
      <c r="Q173" s="488">
        <v>10</v>
      </c>
      <c r="R173" s="489">
        <f t="shared" si="16"/>
        <v>147.47166666666666</v>
      </c>
      <c r="S173" s="490">
        <f t="shared" si="18"/>
        <v>17696.599999999999</v>
      </c>
      <c r="T173" s="490">
        <f t="shared" si="17"/>
        <v>1</v>
      </c>
      <c r="U173" s="488">
        <v>2532</v>
      </c>
      <c r="V173" s="491"/>
      <c r="W173" s="490"/>
      <c r="X173" s="492">
        <f t="shared" si="15"/>
        <v>120</v>
      </c>
    </row>
    <row r="174" spans="1:24" s="221" customFormat="1">
      <c r="A174" s="483" t="s">
        <v>2157</v>
      </c>
      <c r="B174" s="483" t="s">
        <v>2156</v>
      </c>
      <c r="C174" s="483"/>
      <c r="D174" s="483"/>
      <c r="E174" s="483"/>
      <c r="F174" s="483" t="s">
        <v>1739</v>
      </c>
      <c r="G174" s="484" t="str">
        <f t="shared" si="14"/>
        <v>11/8/2003</v>
      </c>
      <c r="H174" s="485">
        <v>11</v>
      </c>
      <c r="I174" s="485">
        <v>8</v>
      </c>
      <c r="J174" s="486">
        <v>2003</v>
      </c>
      <c r="K174" s="483" t="s">
        <v>1510</v>
      </c>
      <c r="L174" s="483">
        <v>695</v>
      </c>
      <c r="M174" s="483" t="s">
        <v>869</v>
      </c>
      <c r="N174" s="493">
        <v>17697.599999999999</v>
      </c>
      <c r="O174" s="168"/>
      <c r="Q174" s="488">
        <v>10</v>
      </c>
      <c r="R174" s="489">
        <f t="shared" si="16"/>
        <v>147.47166666666666</v>
      </c>
      <c r="S174" s="490">
        <f t="shared" si="18"/>
        <v>17696.599999999999</v>
      </c>
      <c r="T174" s="490">
        <f t="shared" si="17"/>
        <v>1</v>
      </c>
      <c r="U174" s="488">
        <v>2532</v>
      </c>
      <c r="V174" s="491"/>
      <c r="W174" s="490"/>
      <c r="X174" s="492">
        <f t="shared" si="15"/>
        <v>120</v>
      </c>
    </row>
    <row r="175" spans="1:24" s="221" customFormat="1">
      <c r="A175" s="226" t="s">
        <v>2155</v>
      </c>
      <c r="B175" s="226" t="s">
        <v>2154</v>
      </c>
      <c r="C175" s="226"/>
      <c r="D175" s="226" t="s">
        <v>2153</v>
      </c>
      <c r="E175" s="226"/>
      <c r="F175" s="226" t="s">
        <v>1720</v>
      </c>
      <c r="G175" s="220" t="str">
        <f t="shared" si="14"/>
        <v>3/10/2005</v>
      </c>
      <c r="H175" s="242">
        <v>3</v>
      </c>
      <c r="I175" s="242">
        <v>10</v>
      </c>
      <c r="J175" s="225">
        <v>2005</v>
      </c>
      <c r="K175" s="226" t="s">
        <v>30</v>
      </c>
      <c r="L175" s="226">
        <v>5961</v>
      </c>
      <c r="M175" s="226" t="s">
        <v>869</v>
      </c>
      <c r="N175" s="230">
        <v>4083.2</v>
      </c>
      <c r="O175" s="230"/>
      <c r="Q175" s="221">
        <v>10</v>
      </c>
      <c r="R175" s="112">
        <f t="shared" si="16"/>
        <v>34.018333333333331</v>
      </c>
      <c r="S175" s="223">
        <f t="shared" si="18"/>
        <v>3469.87</v>
      </c>
      <c r="T175" s="223">
        <f t="shared" si="17"/>
        <v>613.32999999999993</v>
      </c>
      <c r="U175" s="221">
        <v>6098</v>
      </c>
      <c r="V175" s="233"/>
      <c r="W175" s="223"/>
      <c r="X175" s="196">
        <f t="shared" si="15"/>
        <v>102</v>
      </c>
    </row>
    <row r="176" spans="1:24" s="221" customFormat="1">
      <c r="A176" s="226" t="s">
        <v>2152</v>
      </c>
      <c r="B176" s="226" t="s">
        <v>2151</v>
      </c>
      <c r="C176" s="226"/>
      <c r="D176" s="226"/>
      <c r="E176" s="226"/>
      <c r="F176" s="226" t="s">
        <v>1720</v>
      </c>
      <c r="G176" s="220" t="str">
        <f t="shared" si="14"/>
        <v>14/1/2005</v>
      </c>
      <c r="H176" s="242">
        <v>14</v>
      </c>
      <c r="I176" s="242">
        <v>1</v>
      </c>
      <c r="J176" s="225">
        <v>2005</v>
      </c>
      <c r="K176" s="226" t="s">
        <v>30</v>
      </c>
      <c r="L176" s="226">
        <v>2594</v>
      </c>
      <c r="M176" s="226" t="s">
        <v>869</v>
      </c>
      <c r="N176" s="230">
        <v>4083.2</v>
      </c>
      <c r="O176" s="230"/>
      <c r="Q176" s="221">
        <v>10</v>
      </c>
      <c r="R176" s="112">
        <f t="shared" si="16"/>
        <v>34.018333333333331</v>
      </c>
      <c r="S176" s="223">
        <f t="shared" si="18"/>
        <v>3776.0349999999999</v>
      </c>
      <c r="T176" s="223">
        <f t="shared" si="17"/>
        <v>307.16499999999996</v>
      </c>
      <c r="U176" s="221">
        <v>5603</v>
      </c>
      <c r="V176" s="233"/>
      <c r="W176" s="223"/>
      <c r="X176" s="196">
        <f t="shared" si="15"/>
        <v>111</v>
      </c>
    </row>
    <row r="177" spans="1:24" s="221" customFormat="1">
      <c r="A177" s="226" t="s">
        <v>1650</v>
      </c>
      <c r="B177" s="226" t="s">
        <v>2149</v>
      </c>
      <c r="C177" s="226"/>
      <c r="D177" s="226"/>
      <c r="E177" s="226"/>
      <c r="F177" s="226" t="s">
        <v>2043</v>
      </c>
      <c r="G177" s="220" t="str">
        <f t="shared" si="14"/>
        <v>20/11/2006</v>
      </c>
      <c r="H177" s="242">
        <v>20</v>
      </c>
      <c r="I177" s="242">
        <v>11</v>
      </c>
      <c r="J177" s="225">
        <v>2006</v>
      </c>
      <c r="K177" s="226" t="s">
        <v>1645</v>
      </c>
      <c r="L177" s="226">
        <v>1684</v>
      </c>
      <c r="M177" s="226" t="s">
        <v>869</v>
      </c>
      <c r="N177" s="230">
        <v>2610</v>
      </c>
      <c r="O177" s="230"/>
      <c r="Q177" s="221">
        <v>10</v>
      </c>
      <c r="R177" s="112">
        <f t="shared" si="16"/>
        <v>21.741666666666664</v>
      </c>
      <c r="S177" s="223">
        <f t="shared" si="18"/>
        <v>1935.008333333333</v>
      </c>
      <c r="T177" s="223">
        <f t="shared" si="17"/>
        <v>674.99166666666702</v>
      </c>
      <c r="V177" s="233"/>
      <c r="W177" s="223"/>
      <c r="X177" s="196">
        <f t="shared" si="15"/>
        <v>89</v>
      </c>
    </row>
    <row r="178" spans="1:24" s="221" customFormat="1">
      <c r="A178" s="226" t="s">
        <v>2150</v>
      </c>
      <c r="B178" s="226" t="s">
        <v>2149</v>
      </c>
      <c r="C178" s="226"/>
      <c r="D178" s="226"/>
      <c r="E178" s="226"/>
      <c r="F178" s="226" t="s">
        <v>2043</v>
      </c>
      <c r="G178" s="220" t="str">
        <f t="shared" si="14"/>
        <v>20/11/2006</v>
      </c>
      <c r="H178" s="242">
        <v>20</v>
      </c>
      <c r="I178" s="242">
        <v>11</v>
      </c>
      <c r="J178" s="225">
        <v>2006</v>
      </c>
      <c r="K178" s="226" t="s">
        <v>1645</v>
      </c>
      <c r="L178" s="226">
        <v>1684</v>
      </c>
      <c r="M178" s="226" t="s">
        <v>869</v>
      </c>
      <c r="N178" s="230">
        <v>2610</v>
      </c>
      <c r="O178" s="230"/>
      <c r="Q178" s="221">
        <v>10</v>
      </c>
      <c r="R178" s="112">
        <f t="shared" si="16"/>
        <v>21.741666666666664</v>
      </c>
      <c r="S178" s="223">
        <f t="shared" si="18"/>
        <v>1935.008333333333</v>
      </c>
      <c r="T178" s="223">
        <f t="shared" si="17"/>
        <v>674.99166666666702</v>
      </c>
      <c r="V178" s="233"/>
      <c r="W178" s="223"/>
      <c r="X178" s="196">
        <f t="shared" si="15"/>
        <v>89</v>
      </c>
    </row>
    <row r="179" spans="1:24" s="221" customFormat="1">
      <c r="A179" s="226" t="s">
        <v>2148</v>
      </c>
      <c r="B179" s="226" t="s">
        <v>2147</v>
      </c>
      <c r="C179" s="226" t="s">
        <v>2146</v>
      </c>
      <c r="D179" s="226" t="s">
        <v>2144</v>
      </c>
      <c r="E179" s="226"/>
      <c r="F179" s="226" t="s">
        <v>1739</v>
      </c>
      <c r="G179" s="220" t="str">
        <f t="shared" si="14"/>
        <v>12/9/2003</v>
      </c>
      <c r="H179" s="242">
        <v>12</v>
      </c>
      <c r="I179" s="242">
        <v>9</v>
      </c>
      <c r="J179" s="225">
        <v>2003</v>
      </c>
      <c r="K179" s="226" t="s">
        <v>30</v>
      </c>
      <c r="L179" s="226">
        <v>814</v>
      </c>
      <c r="M179" s="226" t="s">
        <v>869</v>
      </c>
      <c r="N179" s="168">
        <v>19738.2</v>
      </c>
      <c r="O179" s="168"/>
      <c r="Q179" s="221">
        <v>10</v>
      </c>
      <c r="R179" s="112">
        <f t="shared" si="16"/>
        <v>164.47666666666666</v>
      </c>
      <c r="S179" s="223">
        <f t="shared" si="18"/>
        <v>19737.2</v>
      </c>
      <c r="T179" s="223">
        <f t="shared" si="17"/>
        <v>1</v>
      </c>
      <c r="U179" s="221">
        <v>2711</v>
      </c>
      <c r="V179" s="233"/>
      <c r="W179" s="223"/>
      <c r="X179" s="196">
        <f t="shared" si="15"/>
        <v>120</v>
      </c>
    </row>
    <row r="180" spans="1:24" s="221" customFormat="1">
      <c r="A180" s="226" t="s">
        <v>2145</v>
      </c>
      <c r="B180" s="226" t="str">
        <f>+B179</f>
        <v>Librero Alto con 2 Puertas Elysee y Puertas de vidrio</v>
      </c>
      <c r="C180" s="226" t="str">
        <f>+C179</f>
        <v>Elysee</v>
      </c>
      <c r="D180" s="226" t="s">
        <v>2144</v>
      </c>
      <c r="E180" s="226"/>
      <c r="F180" s="226" t="s">
        <v>1739</v>
      </c>
      <c r="G180" s="220" t="str">
        <f t="shared" si="14"/>
        <v>12/9/2003</v>
      </c>
      <c r="H180" s="242">
        <v>12</v>
      </c>
      <c r="I180" s="242">
        <v>9</v>
      </c>
      <c r="J180" s="225">
        <v>2003</v>
      </c>
      <c r="K180" s="226" t="s">
        <v>30</v>
      </c>
      <c r="L180" s="226">
        <v>814</v>
      </c>
      <c r="M180" s="226" t="s">
        <v>869</v>
      </c>
      <c r="N180" s="168">
        <v>19738.2</v>
      </c>
      <c r="O180" s="168"/>
      <c r="Q180" s="221">
        <v>10</v>
      </c>
      <c r="R180" s="112">
        <f t="shared" si="16"/>
        <v>164.47666666666666</v>
      </c>
      <c r="S180" s="223">
        <f t="shared" si="18"/>
        <v>19737.2</v>
      </c>
      <c r="T180" s="223">
        <f t="shared" si="17"/>
        <v>1</v>
      </c>
      <c r="U180" s="221">
        <v>2711</v>
      </c>
      <c r="V180" s="233"/>
      <c r="W180" s="223"/>
      <c r="X180" s="196">
        <f t="shared" si="15"/>
        <v>120</v>
      </c>
    </row>
    <row r="181" spans="1:24" s="221" customFormat="1">
      <c r="A181" s="226" t="s">
        <v>2143</v>
      </c>
      <c r="B181" s="226" t="s">
        <v>2142</v>
      </c>
      <c r="C181" s="226"/>
      <c r="D181" s="226" t="s">
        <v>2141</v>
      </c>
      <c r="E181" s="226"/>
      <c r="F181" s="226"/>
      <c r="G181" s="220" t="str">
        <f t="shared" si="14"/>
        <v>//</v>
      </c>
      <c r="H181" s="242"/>
      <c r="I181" s="242"/>
      <c r="J181" s="225"/>
      <c r="K181" s="226"/>
      <c r="L181" s="226"/>
      <c r="M181" s="226" t="s">
        <v>869</v>
      </c>
      <c r="N181" s="168">
        <v>1</v>
      </c>
      <c r="O181" s="168"/>
      <c r="Q181" s="221">
        <v>10</v>
      </c>
      <c r="R181" s="112">
        <f t="shared" si="16"/>
        <v>0</v>
      </c>
      <c r="S181" s="223">
        <v>0</v>
      </c>
      <c r="T181" s="223">
        <f t="shared" si="17"/>
        <v>1</v>
      </c>
      <c r="V181" s="233"/>
      <c r="W181" s="223"/>
      <c r="X181" s="196" t="e">
        <f t="shared" si="15"/>
        <v>#VALUE!</v>
      </c>
    </row>
    <row r="182" spans="1:24" s="221" customFormat="1">
      <c r="A182" s="226" t="s">
        <v>2140</v>
      </c>
      <c r="B182" s="226" t="s">
        <v>2139</v>
      </c>
      <c r="C182" s="226"/>
      <c r="D182" s="226"/>
      <c r="E182" s="248"/>
      <c r="F182" s="248"/>
      <c r="G182" s="220" t="str">
        <f t="shared" si="14"/>
        <v>//</v>
      </c>
      <c r="H182" s="251"/>
      <c r="I182" s="251"/>
      <c r="J182" s="250"/>
      <c r="K182" s="248"/>
      <c r="L182" s="250"/>
      <c r="M182" s="226" t="s">
        <v>869</v>
      </c>
      <c r="N182" s="230">
        <v>1</v>
      </c>
      <c r="O182" s="230"/>
      <c r="Q182" s="221">
        <v>5</v>
      </c>
      <c r="R182" s="112">
        <f t="shared" si="16"/>
        <v>0</v>
      </c>
      <c r="S182" s="223">
        <v>0</v>
      </c>
      <c r="T182" s="223">
        <f t="shared" si="17"/>
        <v>1</v>
      </c>
      <c r="V182" s="233"/>
      <c r="W182" s="223"/>
      <c r="X182" s="196" t="e">
        <f t="shared" si="15"/>
        <v>#VALUE!</v>
      </c>
    </row>
    <row r="183" spans="1:24" s="221" customFormat="1">
      <c r="A183" s="226" t="s">
        <v>2138</v>
      </c>
      <c r="B183" s="226" t="s">
        <v>2137</v>
      </c>
      <c r="C183" s="226" t="s">
        <v>2136</v>
      </c>
      <c r="D183" s="226" t="s">
        <v>2135</v>
      </c>
      <c r="E183" s="226"/>
      <c r="F183" s="226"/>
      <c r="G183" s="220" t="str">
        <f t="shared" si="14"/>
        <v>31/12/2003</v>
      </c>
      <c r="H183" s="242">
        <v>31</v>
      </c>
      <c r="I183" s="242">
        <v>12</v>
      </c>
      <c r="J183" s="225">
        <v>2003</v>
      </c>
      <c r="K183" s="226"/>
      <c r="L183" s="226"/>
      <c r="M183" s="226" t="s">
        <v>869</v>
      </c>
      <c r="N183" s="168">
        <v>14636</v>
      </c>
      <c r="O183" s="168"/>
      <c r="Q183" s="221">
        <v>10</v>
      </c>
      <c r="R183" s="112">
        <f t="shared" si="16"/>
        <v>121.95833333333333</v>
      </c>
      <c r="S183" s="223">
        <f>X183*R183</f>
        <v>14635</v>
      </c>
      <c r="T183" s="223">
        <f t="shared" si="17"/>
        <v>1</v>
      </c>
      <c r="V183" s="233"/>
      <c r="W183" s="223"/>
      <c r="X183" s="196">
        <f t="shared" si="15"/>
        <v>120</v>
      </c>
    </row>
    <row r="184" spans="1:24" s="221" customFormat="1">
      <c r="A184" s="226" t="s">
        <v>2134</v>
      </c>
      <c r="B184" s="226" t="s">
        <v>2133</v>
      </c>
      <c r="C184" s="226"/>
      <c r="D184" s="226"/>
      <c r="E184" s="226"/>
      <c r="F184" s="226"/>
      <c r="G184" s="220" t="str">
        <f t="shared" si="14"/>
        <v>//</v>
      </c>
      <c r="H184" s="242"/>
      <c r="I184" s="242"/>
      <c r="J184" s="225"/>
      <c r="K184" s="226"/>
      <c r="L184" s="225"/>
      <c r="M184" s="226" t="s">
        <v>869</v>
      </c>
      <c r="N184" s="230">
        <v>1</v>
      </c>
      <c r="O184" s="230"/>
      <c r="Q184" s="221">
        <v>10</v>
      </c>
      <c r="R184" s="112">
        <f t="shared" si="16"/>
        <v>0</v>
      </c>
      <c r="S184" s="223">
        <v>0</v>
      </c>
      <c r="T184" s="223">
        <f t="shared" si="17"/>
        <v>1</v>
      </c>
      <c r="V184" s="233"/>
      <c r="W184" s="223"/>
      <c r="X184" s="196" t="e">
        <f t="shared" si="15"/>
        <v>#VALUE!</v>
      </c>
    </row>
    <row r="185" spans="1:24" s="221" customFormat="1">
      <c r="A185" s="226" t="s">
        <v>2132</v>
      </c>
      <c r="B185" s="226" t="s">
        <v>2131</v>
      </c>
      <c r="C185" s="226"/>
      <c r="D185" s="226" t="s">
        <v>2130</v>
      </c>
      <c r="E185" s="226"/>
      <c r="F185" s="226" t="s">
        <v>1720</v>
      </c>
      <c r="G185" s="220" t="str">
        <f t="shared" si="14"/>
        <v>12/9/2003</v>
      </c>
      <c r="H185" s="242">
        <v>12</v>
      </c>
      <c r="I185" s="242">
        <v>9</v>
      </c>
      <c r="J185" s="225">
        <v>2003</v>
      </c>
      <c r="K185" s="226" t="s">
        <v>30</v>
      </c>
      <c r="L185" s="226">
        <v>1827</v>
      </c>
      <c r="M185" s="226" t="s">
        <v>869</v>
      </c>
      <c r="N185" s="230">
        <v>21920</v>
      </c>
      <c r="O185" s="230"/>
      <c r="Q185" s="221">
        <v>10</v>
      </c>
      <c r="R185" s="112">
        <f t="shared" si="16"/>
        <v>182.65833333333333</v>
      </c>
      <c r="S185" s="223">
        <f t="shared" ref="S185:S191" si="19">X185*R185</f>
        <v>21919</v>
      </c>
      <c r="T185" s="223">
        <f t="shared" si="17"/>
        <v>1</v>
      </c>
      <c r="U185" s="221">
        <v>2713</v>
      </c>
      <c r="V185" s="233"/>
      <c r="W185" s="223"/>
      <c r="X185" s="196">
        <f t="shared" si="15"/>
        <v>120</v>
      </c>
    </row>
    <row r="186" spans="1:24" s="221" customFormat="1">
      <c r="A186" s="226" t="s">
        <v>2129</v>
      </c>
      <c r="B186" s="226" t="s">
        <v>2128</v>
      </c>
      <c r="C186" s="226"/>
      <c r="D186" s="226"/>
      <c r="E186" s="226"/>
      <c r="F186" s="226" t="s">
        <v>1739</v>
      </c>
      <c r="G186" s="220" t="str">
        <f t="shared" si="14"/>
        <v>12/1/2003</v>
      </c>
      <c r="H186" s="242">
        <v>12</v>
      </c>
      <c r="I186" s="242">
        <v>1</v>
      </c>
      <c r="J186" s="225">
        <v>2003</v>
      </c>
      <c r="K186" s="226" t="s">
        <v>1510</v>
      </c>
      <c r="L186" s="226">
        <v>703</v>
      </c>
      <c r="M186" s="226" t="s">
        <v>869</v>
      </c>
      <c r="N186" s="230">
        <v>10995</v>
      </c>
      <c r="O186" s="230"/>
      <c r="Q186" s="221">
        <v>10</v>
      </c>
      <c r="R186" s="112">
        <f t="shared" si="16"/>
        <v>91.616666666666674</v>
      </c>
      <c r="S186" s="223">
        <f t="shared" si="19"/>
        <v>10994</v>
      </c>
      <c r="T186" s="223">
        <f t="shared" si="17"/>
        <v>1</v>
      </c>
      <c r="U186" s="221">
        <v>2542</v>
      </c>
      <c r="V186" s="233"/>
      <c r="W186" s="223"/>
      <c r="X186" s="196">
        <f t="shared" si="15"/>
        <v>120</v>
      </c>
    </row>
    <row r="187" spans="1:24" s="221" customFormat="1">
      <c r="A187" s="226" t="s">
        <v>2127</v>
      </c>
      <c r="B187" s="226" t="s">
        <v>2126</v>
      </c>
      <c r="C187" s="226"/>
      <c r="D187" s="206"/>
      <c r="E187" s="226"/>
      <c r="F187" s="226" t="s">
        <v>2125</v>
      </c>
      <c r="G187" s="220" t="str">
        <f t="shared" si="14"/>
        <v>19/1/2004</v>
      </c>
      <c r="H187" s="242">
        <v>19</v>
      </c>
      <c r="I187" s="242">
        <v>1</v>
      </c>
      <c r="J187" s="225">
        <v>2004</v>
      </c>
      <c r="K187" s="226" t="s">
        <v>30</v>
      </c>
      <c r="L187" s="226">
        <v>25831</v>
      </c>
      <c r="M187" s="226" t="s">
        <v>869</v>
      </c>
      <c r="N187" s="230">
        <v>267085.89</v>
      </c>
      <c r="O187" s="230"/>
      <c r="Q187" s="221">
        <v>10</v>
      </c>
      <c r="R187" s="112">
        <f t="shared" si="16"/>
        <v>2225.7074166666666</v>
      </c>
      <c r="S187" s="223">
        <f t="shared" si="19"/>
        <v>267084.89</v>
      </c>
      <c r="T187" s="223">
        <f t="shared" si="17"/>
        <v>1</v>
      </c>
      <c r="U187" s="221">
        <v>3006</v>
      </c>
      <c r="V187" s="233"/>
      <c r="W187" s="223"/>
      <c r="X187" s="196">
        <f t="shared" si="15"/>
        <v>120</v>
      </c>
    </row>
    <row r="188" spans="1:24" s="221" customFormat="1">
      <c r="A188" s="226" t="s">
        <v>2124</v>
      </c>
      <c r="B188" s="226" t="s">
        <v>2123</v>
      </c>
      <c r="C188" s="226"/>
      <c r="D188" s="226" t="s">
        <v>2122</v>
      </c>
      <c r="E188" s="226"/>
      <c r="F188" s="226" t="s">
        <v>1724</v>
      </c>
      <c r="G188" s="220" t="str">
        <f t="shared" si="14"/>
        <v>13/1/2005</v>
      </c>
      <c r="H188" s="242">
        <v>13</v>
      </c>
      <c r="I188" s="242">
        <v>1</v>
      </c>
      <c r="J188" s="225">
        <v>2005</v>
      </c>
      <c r="K188" s="226" t="s">
        <v>30</v>
      </c>
      <c r="L188" s="226">
        <v>5972</v>
      </c>
      <c r="M188" s="226" t="s">
        <v>869</v>
      </c>
      <c r="N188" s="230">
        <v>10622.18</v>
      </c>
      <c r="O188" s="230"/>
      <c r="Q188" s="221">
        <v>10</v>
      </c>
      <c r="R188" s="112">
        <f t="shared" si="16"/>
        <v>88.509833333333333</v>
      </c>
      <c r="S188" s="223">
        <f t="shared" si="19"/>
        <v>9824.5915000000005</v>
      </c>
      <c r="T188" s="223">
        <f t="shared" si="17"/>
        <v>797.58849999999984</v>
      </c>
      <c r="U188" s="221">
        <v>5459</v>
      </c>
      <c r="V188" s="233"/>
      <c r="W188" s="223"/>
      <c r="X188" s="196">
        <f t="shared" si="15"/>
        <v>111</v>
      </c>
    </row>
    <row r="189" spans="1:24" s="221" customFormat="1">
      <c r="A189" s="226" t="s">
        <v>2121</v>
      </c>
      <c r="B189" s="226" t="s">
        <v>2120</v>
      </c>
      <c r="C189" s="226"/>
      <c r="D189" s="226">
        <v>300</v>
      </c>
      <c r="E189" s="226"/>
      <c r="F189" s="226" t="s">
        <v>1724</v>
      </c>
      <c r="G189" s="220" t="str">
        <f t="shared" si="14"/>
        <v>10/3/2006</v>
      </c>
      <c r="H189" s="242">
        <v>10</v>
      </c>
      <c r="I189" s="242">
        <v>3</v>
      </c>
      <c r="J189" s="225">
        <v>2006</v>
      </c>
      <c r="K189" s="226" t="s">
        <v>30</v>
      </c>
      <c r="L189" s="226">
        <v>7898</v>
      </c>
      <c r="M189" s="226" t="s">
        <v>869</v>
      </c>
      <c r="N189" s="230">
        <v>5862.65</v>
      </c>
      <c r="O189" s="230"/>
      <c r="Q189" s="221">
        <v>10</v>
      </c>
      <c r="R189" s="112">
        <f t="shared" si="16"/>
        <v>48.84708333333333</v>
      </c>
      <c r="S189" s="223">
        <f t="shared" si="19"/>
        <v>4738.1670833333328</v>
      </c>
      <c r="T189" s="223">
        <f t="shared" si="17"/>
        <v>1124.4829166666668</v>
      </c>
      <c r="U189" s="221">
        <v>8017</v>
      </c>
      <c r="V189" s="233"/>
      <c r="W189" s="223"/>
      <c r="X189" s="196">
        <f t="shared" si="15"/>
        <v>97</v>
      </c>
    </row>
    <row r="190" spans="1:24" s="221" customFormat="1">
      <c r="A190" s="226" t="s">
        <v>2119</v>
      </c>
      <c r="B190" s="226" t="s">
        <v>2118</v>
      </c>
      <c r="C190" s="226"/>
      <c r="D190" s="226" t="s">
        <v>2117</v>
      </c>
      <c r="E190" s="226"/>
      <c r="F190" s="226" t="s">
        <v>1724</v>
      </c>
      <c r="G190" s="220" t="str">
        <f t="shared" si="14"/>
        <v>25/11/2003</v>
      </c>
      <c r="H190" s="242">
        <v>25</v>
      </c>
      <c r="I190" s="242">
        <v>11</v>
      </c>
      <c r="J190" s="225">
        <v>2003</v>
      </c>
      <c r="K190" s="226" t="s">
        <v>30</v>
      </c>
      <c r="L190" s="226" t="s">
        <v>2036</v>
      </c>
      <c r="M190" s="226" t="s">
        <v>869</v>
      </c>
      <c r="N190" s="168">
        <v>4409.6000000000004</v>
      </c>
      <c r="O190" s="243" t="s">
        <v>278</v>
      </c>
      <c r="Q190" s="221">
        <v>10</v>
      </c>
      <c r="R190" s="112">
        <f t="shared" si="16"/>
        <v>36.738333333333337</v>
      </c>
      <c r="S190" s="223">
        <f t="shared" si="19"/>
        <v>4408.6000000000004</v>
      </c>
      <c r="T190" s="223">
        <f t="shared" si="17"/>
        <v>1</v>
      </c>
      <c r="U190" s="221">
        <v>2702</v>
      </c>
      <c r="V190" s="233"/>
      <c r="W190" s="223"/>
      <c r="X190" s="196">
        <f t="shared" si="15"/>
        <v>120</v>
      </c>
    </row>
    <row r="191" spans="1:24" s="221" customFormat="1">
      <c r="A191" s="226" t="s">
        <v>2116</v>
      </c>
      <c r="B191" s="226" t="s">
        <v>2115</v>
      </c>
      <c r="C191" s="226"/>
      <c r="D191" s="226" t="s">
        <v>2114</v>
      </c>
      <c r="E191" s="226"/>
      <c r="F191" s="226" t="s">
        <v>1972</v>
      </c>
      <c r="G191" s="220" t="str">
        <f t="shared" si="14"/>
        <v>21/3/2003</v>
      </c>
      <c r="H191" s="242">
        <v>21</v>
      </c>
      <c r="I191" s="242">
        <v>3</v>
      </c>
      <c r="J191" s="225">
        <v>2003</v>
      </c>
      <c r="K191" s="226" t="s">
        <v>30</v>
      </c>
      <c r="L191" s="226">
        <v>27926</v>
      </c>
      <c r="M191" s="226" t="s">
        <v>869</v>
      </c>
      <c r="N191" s="230">
        <v>3528</v>
      </c>
      <c r="O191" s="230"/>
      <c r="Q191" s="221">
        <v>10</v>
      </c>
      <c r="R191" s="112">
        <f t="shared" si="16"/>
        <v>29.391666666666666</v>
      </c>
      <c r="S191" s="223">
        <f t="shared" si="19"/>
        <v>3527</v>
      </c>
      <c r="T191" s="223">
        <f t="shared" si="17"/>
        <v>1</v>
      </c>
      <c r="U191" s="221">
        <v>1137</v>
      </c>
      <c r="V191" s="233"/>
      <c r="W191" s="223"/>
      <c r="X191" s="196">
        <f t="shared" si="15"/>
        <v>120</v>
      </c>
    </row>
    <row r="192" spans="1:24" s="221" customFormat="1">
      <c r="A192" s="226" t="s">
        <v>2113</v>
      </c>
      <c r="B192" s="226" t="s">
        <v>2112</v>
      </c>
      <c r="C192" s="226"/>
      <c r="D192" s="226" t="s">
        <v>2111</v>
      </c>
      <c r="E192" s="226"/>
      <c r="F192" s="226"/>
      <c r="G192" s="220" t="str">
        <f t="shared" si="14"/>
        <v>//</v>
      </c>
      <c r="H192" s="242"/>
      <c r="I192" s="242"/>
      <c r="J192" s="225"/>
      <c r="K192" s="226"/>
      <c r="L192" s="225"/>
      <c r="M192" s="226" t="s">
        <v>869</v>
      </c>
      <c r="N192" s="230">
        <v>1</v>
      </c>
      <c r="O192" s="230"/>
      <c r="Q192" s="221">
        <v>10</v>
      </c>
      <c r="R192" s="112">
        <f t="shared" si="16"/>
        <v>0</v>
      </c>
      <c r="S192" s="223">
        <v>0</v>
      </c>
      <c r="T192" s="223">
        <f t="shared" si="17"/>
        <v>1</v>
      </c>
      <c r="V192" s="233"/>
      <c r="W192" s="223"/>
      <c r="X192" s="196" t="e">
        <f t="shared" si="15"/>
        <v>#VALUE!</v>
      </c>
    </row>
    <row r="193" spans="1:24" s="221" customFormat="1">
      <c r="A193" s="226" t="s">
        <v>1937</v>
      </c>
      <c r="B193" s="226" t="s">
        <v>2110</v>
      </c>
      <c r="C193" s="226"/>
      <c r="D193" s="226"/>
      <c r="E193" s="226"/>
      <c r="F193" s="226"/>
      <c r="G193" s="220" t="str">
        <f t="shared" si="14"/>
        <v>//</v>
      </c>
      <c r="H193" s="242"/>
      <c r="I193" s="242"/>
      <c r="J193" s="225"/>
      <c r="K193" s="226"/>
      <c r="L193" s="226"/>
      <c r="M193" s="226" t="s">
        <v>869</v>
      </c>
      <c r="N193" s="230">
        <v>1</v>
      </c>
      <c r="O193" s="230"/>
      <c r="Q193" s="221">
        <v>10</v>
      </c>
      <c r="R193" s="112">
        <f t="shared" si="16"/>
        <v>0</v>
      </c>
      <c r="S193" s="223">
        <v>0</v>
      </c>
      <c r="T193" s="223">
        <f t="shared" si="17"/>
        <v>1</v>
      </c>
      <c r="V193" s="233"/>
      <c r="W193" s="223"/>
      <c r="X193" s="196" t="e">
        <f t="shared" si="15"/>
        <v>#VALUE!</v>
      </c>
    </row>
    <row r="194" spans="1:24" s="221" customFormat="1">
      <c r="A194" s="226" t="s">
        <v>2109</v>
      </c>
      <c r="B194" s="226" t="s">
        <v>2100</v>
      </c>
      <c r="C194" s="226"/>
      <c r="D194" s="226"/>
      <c r="E194" s="226"/>
      <c r="F194" s="226"/>
      <c r="G194" s="220" t="str">
        <f t="shared" si="14"/>
        <v>8/10/2007</v>
      </c>
      <c r="H194" s="242">
        <v>8</v>
      </c>
      <c r="I194" s="242">
        <v>10</v>
      </c>
      <c r="J194" s="225">
        <v>2007</v>
      </c>
      <c r="K194" s="226" t="s">
        <v>1583</v>
      </c>
      <c r="L194" s="226" t="s">
        <v>2099</v>
      </c>
      <c r="M194" s="226" t="s">
        <v>869</v>
      </c>
      <c r="N194" s="168">
        <v>2000</v>
      </c>
      <c r="O194" s="168"/>
      <c r="Q194" s="221">
        <v>10</v>
      </c>
      <c r="R194" s="112">
        <f t="shared" si="16"/>
        <v>16.658333333333335</v>
      </c>
      <c r="S194" s="223">
        <f t="shared" ref="S194:S204" si="20">X194*R194</f>
        <v>1299.3500000000001</v>
      </c>
      <c r="T194" s="223">
        <f t="shared" si="17"/>
        <v>700.64999999999986</v>
      </c>
      <c r="V194" s="233"/>
      <c r="W194" s="223"/>
      <c r="X194" s="196">
        <f t="shared" si="15"/>
        <v>78</v>
      </c>
    </row>
    <row r="195" spans="1:24" s="221" customFormat="1">
      <c r="A195" s="226" t="s">
        <v>2108</v>
      </c>
      <c r="B195" s="226" t="s">
        <v>2100</v>
      </c>
      <c r="C195" s="226"/>
      <c r="D195" s="226"/>
      <c r="E195" s="226"/>
      <c r="F195" s="226"/>
      <c r="G195" s="220" t="str">
        <f t="shared" si="14"/>
        <v>8/10/2007</v>
      </c>
      <c r="H195" s="242">
        <v>8</v>
      </c>
      <c r="I195" s="242">
        <v>10</v>
      </c>
      <c r="J195" s="225">
        <v>2007</v>
      </c>
      <c r="K195" s="226" t="s">
        <v>1583</v>
      </c>
      <c r="L195" s="226" t="s">
        <v>2099</v>
      </c>
      <c r="M195" s="226" t="s">
        <v>869</v>
      </c>
      <c r="N195" s="168">
        <v>2000</v>
      </c>
      <c r="O195" s="168"/>
      <c r="Q195" s="221">
        <v>10</v>
      </c>
      <c r="R195" s="112">
        <f t="shared" si="16"/>
        <v>16.658333333333335</v>
      </c>
      <c r="S195" s="223">
        <f t="shared" si="20"/>
        <v>1299.3500000000001</v>
      </c>
      <c r="T195" s="223">
        <f t="shared" si="17"/>
        <v>700.64999999999986</v>
      </c>
      <c r="V195" s="233"/>
      <c r="W195" s="223"/>
      <c r="X195" s="196">
        <f t="shared" si="15"/>
        <v>78</v>
      </c>
    </row>
    <row r="196" spans="1:24" s="221" customFormat="1">
      <c r="A196" s="226" t="s">
        <v>2107</v>
      </c>
      <c r="B196" s="226" t="s">
        <v>2100</v>
      </c>
      <c r="C196" s="226"/>
      <c r="D196" s="226"/>
      <c r="E196" s="226"/>
      <c r="F196" s="226"/>
      <c r="G196" s="220" t="str">
        <f t="shared" si="14"/>
        <v>8/10/2007</v>
      </c>
      <c r="H196" s="242">
        <v>8</v>
      </c>
      <c r="I196" s="242">
        <v>10</v>
      </c>
      <c r="J196" s="225">
        <v>2007</v>
      </c>
      <c r="K196" s="226" t="s">
        <v>1583</v>
      </c>
      <c r="L196" s="226" t="s">
        <v>2099</v>
      </c>
      <c r="M196" s="226" t="s">
        <v>869</v>
      </c>
      <c r="N196" s="168">
        <v>2000</v>
      </c>
      <c r="O196" s="168"/>
      <c r="Q196" s="221">
        <v>10</v>
      </c>
      <c r="R196" s="112">
        <f t="shared" si="16"/>
        <v>16.658333333333335</v>
      </c>
      <c r="S196" s="223">
        <f t="shared" si="20"/>
        <v>1299.3500000000001</v>
      </c>
      <c r="T196" s="223">
        <f t="shared" si="17"/>
        <v>700.64999999999986</v>
      </c>
      <c r="V196" s="233"/>
      <c r="W196" s="223"/>
      <c r="X196" s="196">
        <f t="shared" si="15"/>
        <v>78</v>
      </c>
    </row>
    <row r="197" spans="1:24" s="221" customFormat="1">
      <c r="A197" s="226" t="s">
        <v>2106</v>
      </c>
      <c r="B197" s="226" t="s">
        <v>2100</v>
      </c>
      <c r="C197" s="226"/>
      <c r="D197" s="226"/>
      <c r="E197" s="226"/>
      <c r="F197" s="226"/>
      <c r="G197" s="220" t="str">
        <f t="shared" si="14"/>
        <v>8/10/2007</v>
      </c>
      <c r="H197" s="242">
        <v>8</v>
      </c>
      <c r="I197" s="242">
        <v>10</v>
      </c>
      <c r="J197" s="225">
        <v>2007</v>
      </c>
      <c r="K197" s="226" t="s">
        <v>1583</v>
      </c>
      <c r="L197" s="226" t="s">
        <v>2099</v>
      </c>
      <c r="M197" s="226" t="s">
        <v>869</v>
      </c>
      <c r="N197" s="168">
        <v>2000</v>
      </c>
      <c r="O197" s="168"/>
      <c r="Q197" s="221">
        <v>10</v>
      </c>
      <c r="R197" s="112">
        <f t="shared" si="16"/>
        <v>16.658333333333335</v>
      </c>
      <c r="S197" s="223">
        <f t="shared" si="20"/>
        <v>1299.3500000000001</v>
      </c>
      <c r="T197" s="223">
        <f t="shared" si="17"/>
        <v>700.64999999999986</v>
      </c>
      <c r="V197" s="233"/>
      <c r="W197" s="223"/>
      <c r="X197" s="196">
        <f t="shared" si="15"/>
        <v>78</v>
      </c>
    </row>
    <row r="198" spans="1:24" s="221" customFormat="1">
      <c r="A198" s="226" t="s">
        <v>2105</v>
      </c>
      <c r="B198" s="226" t="s">
        <v>2100</v>
      </c>
      <c r="C198" s="226"/>
      <c r="D198" s="226"/>
      <c r="E198" s="226"/>
      <c r="F198" s="226"/>
      <c r="G198" s="220" t="str">
        <f t="shared" si="14"/>
        <v>8/10/2007</v>
      </c>
      <c r="H198" s="242">
        <v>8</v>
      </c>
      <c r="I198" s="242">
        <v>10</v>
      </c>
      <c r="J198" s="225">
        <v>2007</v>
      </c>
      <c r="K198" s="226" t="s">
        <v>1583</v>
      </c>
      <c r="L198" s="226" t="s">
        <v>2099</v>
      </c>
      <c r="M198" s="226" t="s">
        <v>869</v>
      </c>
      <c r="N198" s="168">
        <v>2000</v>
      </c>
      <c r="O198" s="168"/>
      <c r="Q198" s="221">
        <v>10</v>
      </c>
      <c r="R198" s="112">
        <f t="shared" si="16"/>
        <v>16.658333333333335</v>
      </c>
      <c r="S198" s="223">
        <f t="shared" si="20"/>
        <v>1299.3500000000001</v>
      </c>
      <c r="T198" s="223">
        <f t="shared" si="17"/>
        <v>700.64999999999986</v>
      </c>
      <c r="V198" s="233"/>
      <c r="W198" s="223"/>
      <c r="X198" s="196">
        <f t="shared" si="15"/>
        <v>78</v>
      </c>
    </row>
    <row r="199" spans="1:24" s="221" customFormat="1">
      <c r="A199" s="226" t="s">
        <v>2104</v>
      </c>
      <c r="B199" s="226" t="s">
        <v>2100</v>
      </c>
      <c r="C199" s="226"/>
      <c r="D199" s="226"/>
      <c r="E199" s="226"/>
      <c r="F199" s="226"/>
      <c r="G199" s="220" t="str">
        <f t="shared" ref="G199:G262" si="21">CONCATENATE(H199,"/",I199,"/",J199,)</f>
        <v>8/10/2007</v>
      </c>
      <c r="H199" s="242">
        <v>8</v>
      </c>
      <c r="I199" s="242">
        <v>10</v>
      </c>
      <c r="J199" s="225">
        <v>2007</v>
      </c>
      <c r="K199" s="226" t="s">
        <v>1583</v>
      </c>
      <c r="L199" s="226" t="s">
        <v>2099</v>
      </c>
      <c r="M199" s="226" t="s">
        <v>869</v>
      </c>
      <c r="N199" s="168">
        <v>2000</v>
      </c>
      <c r="O199" s="168"/>
      <c r="Q199" s="221">
        <v>10</v>
      </c>
      <c r="R199" s="112">
        <f t="shared" si="16"/>
        <v>16.658333333333335</v>
      </c>
      <c r="S199" s="223">
        <f t="shared" si="20"/>
        <v>1299.3500000000001</v>
      </c>
      <c r="T199" s="223">
        <f t="shared" si="17"/>
        <v>700.64999999999986</v>
      </c>
      <c r="V199" s="233"/>
      <c r="W199" s="223"/>
      <c r="X199" s="196">
        <f t="shared" ref="X199:X262" si="22">IF((DATEDIF(G199,X$4,"m"))&gt;=120,120,(DATEDIF(G199,X$4,"m")))</f>
        <v>78</v>
      </c>
    </row>
    <row r="200" spans="1:24" s="221" customFormat="1">
      <c r="A200" s="226" t="s">
        <v>2104</v>
      </c>
      <c r="B200" s="226" t="s">
        <v>2100</v>
      </c>
      <c r="C200" s="226"/>
      <c r="D200" s="226"/>
      <c r="E200" s="226"/>
      <c r="F200" s="226"/>
      <c r="G200" s="220" t="str">
        <f t="shared" si="21"/>
        <v>8/10/2007</v>
      </c>
      <c r="H200" s="242">
        <v>8</v>
      </c>
      <c r="I200" s="242">
        <v>10</v>
      </c>
      <c r="J200" s="225">
        <v>2007</v>
      </c>
      <c r="K200" s="226" t="s">
        <v>1583</v>
      </c>
      <c r="L200" s="226" t="s">
        <v>2099</v>
      </c>
      <c r="M200" s="226" t="s">
        <v>869</v>
      </c>
      <c r="N200" s="168">
        <v>2000</v>
      </c>
      <c r="O200" s="168"/>
      <c r="Q200" s="221">
        <v>10</v>
      </c>
      <c r="R200" s="112">
        <f t="shared" si="16"/>
        <v>16.658333333333335</v>
      </c>
      <c r="S200" s="223">
        <f t="shared" si="20"/>
        <v>1299.3500000000001</v>
      </c>
      <c r="T200" s="223">
        <f t="shared" si="17"/>
        <v>700.64999999999986</v>
      </c>
      <c r="V200" s="233"/>
      <c r="W200" s="223"/>
      <c r="X200" s="196">
        <f t="shared" si="22"/>
        <v>78</v>
      </c>
    </row>
    <row r="201" spans="1:24" s="221" customFormat="1">
      <c r="A201" s="226" t="s">
        <v>2103</v>
      </c>
      <c r="B201" s="226" t="s">
        <v>2100</v>
      </c>
      <c r="C201" s="226"/>
      <c r="D201" s="226"/>
      <c r="E201" s="226"/>
      <c r="F201" s="226"/>
      <c r="G201" s="220" t="str">
        <f t="shared" si="21"/>
        <v>8/10/2007</v>
      </c>
      <c r="H201" s="242">
        <v>8</v>
      </c>
      <c r="I201" s="242">
        <v>10</v>
      </c>
      <c r="J201" s="225">
        <v>2007</v>
      </c>
      <c r="K201" s="226" t="s">
        <v>1583</v>
      </c>
      <c r="L201" s="226" t="s">
        <v>2099</v>
      </c>
      <c r="M201" s="226" t="s">
        <v>869</v>
      </c>
      <c r="N201" s="168">
        <v>2000</v>
      </c>
      <c r="O201" s="168"/>
      <c r="Q201" s="221">
        <v>10</v>
      </c>
      <c r="R201" s="112">
        <f t="shared" ref="R201:R264" si="23">(((N201)-1)/10)/12</f>
        <v>16.658333333333335</v>
      </c>
      <c r="S201" s="223">
        <f t="shared" si="20"/>
        <v>1299.3500000000001</v>
      </c>
      <c r="T201" s="223">
        <f t="shared" si="17"/>
        <v>700.64999999999986</v>
      </c>
      <c r="V201" s="233"/>
      <c r="W201" s="223"/>
      <c r="X201" s="196">
        <f t="shared" si="22"/>
        <v>78</v>
      </c>
    </row>
    <row r="202" spans="1:24" s="221" customFormat="1">
      <c r="A202" s="226" t="s">
        <v>2102</v>
      </c>
      <c r="B202" s="226" t="s">
        <v>2100</v>
      </c>
      <c r="C202" s="226"/>
      <c r="D202" s="226"/>
      <c r="E202" s="226"/>
      <c r="F202" s="226"/>
      <c r="G202" s="220" t="str">
        <f t="shared" si="21"/>
        <v>8/10/2007</v>
      </c>
      <c r="H202" s="242">
        <v>8</v>
      </c>
      <c r="I202" s="242">
        <v>10</v>
      </c>
      <c r="J202" s="225">
        <v>2007</v>
      </c>
      <c r="K202" s="226" t="s">
        <v>1583</v>
      </c>
      <c r="L202" s="226" t="s">
        <v>2099</v>
      </c>
      <c r="M202" s="226" t="s">
        <v>869</v>
      </c>
      <c r="N202" s="168">
        <v>2000</v>
      </c>
      <c r="O202" s="168"/>
      <c r="Q202" s="221">
        <v>10</v>
      </c>
      <c r="R202" s="112">
        <f t="shared" si="23"/>
        <v>16.658333333333335</v>
      </c>
      <c r="S202" s="223">
        <f t="shared" si="20"/>
        <v>1299.3500000000001</v>
      </c>
      <c r="T202" s="223">
        <f t="shared" ref="T202:T265" si="24">N202-S202</f>
        <v>700.64999999999986</v>
      </c>
      <c r="V202" s="233"/>
      <c r="W202" s="223"/>
      <c r="X202" s="196">
        <f t="shared" si="22"/>
        <v>78</v>
      </c>
    </row>
    <row r="203" spans="1:24" s="221" customFormat="1">
      <c r="A203" s="226" t="s">
        <v>2101</v>
      </c>
      <c r="B203" s="226" t="s">
        <v>2100</v>
      </c>
      <c r="C203" s="226"/>
      <c r="D203" s="226"/>
      <c r="E203" s="226"/>
      <c r="F203" s="226"/>
      <c r="G203" s="220" t="str">
        <f t="shared" si="21"/>
        <v>8/10/2007</v>
      </c>
      <c r="H203" s="242">
        <v>8</v>
      </c>
      <c r="I203" s="242">
        <v>10</v>
      </c>
      <c r="J203" s="225">
        <v>2007</v>
      </c>
      <c r="K203" s="226" t="s">
        <v>1583</v>
      </c>
      <c r="L203" s="226" t="s">
        <v>2099</v>
      </c>
      <c r="M203" s="226" t="s">
        <v>869</v>
      </c>
      <c r="N203" s="168">
        <v>2000</v>
      </c>
      <c r="O203" s="168"/>
      <c r="Q203" s="221">
        <v>10</v>
      </c>
      <c r="R203" s="112">
        <f t="shared" si="23"/>
        <v>16.658333333333335</v>
      </c>
      <c r="S203" s="223">
        <f t="shared" si="20"/>
        <v>1299.3500000000001</v>
      </c>
      <c r="T203" s="223">
        <f t="shared" si="24"/>
        <v>700.64999999999986</v>
      </c>
      <c r="V203" s="233"/>
      <c r="W203" s="223"/>
      <c r="X203" s="196">
        <f t="shared" si="22"/>
        <v>78</v>
      </c>
    </row>
    <row r="204" spans="1:24" s="221" customFormat="1" ht="47.25">
      <c r="A204" s="261" t="s">
        <v>2098</v>
      </c>
      <c r="B204" s="261" t="s">
        <v>2097</v>
      </c>
      <c r="C204" s="261"/>
      <c r="D204" s="261" t="s">
        <v>2096</v>
      </c>
      <c r="E204" s="261"/>
      <c r="F204" s="261" t="s">
        <v>1732</v>
      </c>
      <c r="G204" s="220" t="str">
        <f t="shared" si="21"/>
        <v>10/10/2003</v>
      </c>
      <c r="H204" s="263">
        <v>10</v>
      </c>
      <c r="I204" s="263">
        <v>10</v>
      </c>
      <c r="J204" s="262">
        <v>2003</v>
      </c>
      <c r="K204" s="261" t="s">
        <v>30</v>
      </c>
      <c r="L204" s="261" t="s">
        <v>1731</v>
      </c>
      <c r="M204" s="261" t="s">
        <v>869</v>
      </c>
      <c r="N204" s="260">
        <v>3705</v>
      </c>
      <c r="O204" s="259" t="s">
        <v>339</v>
      </c>
      <c r="Q204" s="221">
        <v>10</v>
      </c>
      <c r="R204" s="112">
        <f t="shared" si="23"/>
        <v>30.866666666666664</v>
      </c>
      <c r="S204" s="223">
        <f t="shared" si="20"/>
        <v>3703.9999999999995</v>
      </c>
      <c r="T204" s="223">
        <f t="shared" si="24"/>
        <v>1.0000000000004547</v>
      </c>
      <c r="U204" s="221">
        <v>2165</v>
      </c>
      <c r="V204" s="233"/>
      <c r="W204" s="223"/>
      <c r="X204" s="196">
        <f t="shared" si="22"/>
        <v>120</v>
      </c>
    </row>
    <row r="205" spans="1:24" s="221" customFormat="1">
      <c r="A205" s="226" t="s">
        <v>2095</v>
      </c>
      <c r="B205" s="226" t="s">
        <v>2093</v>
      </c>
      <c r="C205" s="226"/>
      <c r="D205" s="226"/>
      <c r="E205" s="226"/>
      <c r="F205" s="226"/>
      <c r="G205" s="220" t="str">
        <f t="shared" si="21"/>
        <v>//</v>
      </c>
      <c r="H205" s="242"/>
      <c r="I205" s="242"/>
      <c r="J205" s="225"/>
      <c r="K205" s="226"/>
      <c r="L205" s="225"/>
      <c r="M205" s="226" t="s">
        <v>869</v>
      </c>
      <c r="N205" s="230">
        <v>1</v>
      </c>
      <c r="O205" s="230"/>
      <c r="Q205" s="221">
        <v>10</v>
      </c>
      <c r="R205" s="112">
        <f t="shared" si="23"/>
        <v>0</v>
      </c>
      <c r="S205" s="223">
        <v>0</v>
      </c>
      <c r="T205" s="223">
        <f t="shared" si="24"/>
        <v>1</v>
      </c>
      <c r="V205" s="233"/>
      <c r="W205" s="223"/>
      <c r="X205" s="196" t="e">
        <f t="shared" si="22"/>
        <v>#VALUE!</v>
      </c>
    </row>
    <row r="206" spans="1:24" s="221" customFormat="1">
      <c r="A206" s="226" t="s">
        <v>2094</v>
      </c>
      <c r="B206" s="226" t="s">
        <v>2093</v>
      </c>
      <c r="C206" s="226"/>
      <c r="D206" s="226"/>
      <c r="E206" s="226"/>
      <c r="F206" s="226" t="s">
        <v>2092</v>
      </c>
      <c r="G206" s="220" t="str">
        <f t="shared" si="21"/>
        <v>22/6/2007</v>
      </c>
      <c r="H206" s="242">
        <v>22</v>
      </c>
      <c r="I206" s="242">
        <v>6</v>
      </c>
      <c r="J206" s="225">
        <v>2007</v>
      </c>
      <c r="K206" s="226" t="s">
        <v>2091</v>
      </c>
      <c r="L206" s="226">
        <v>17257</v>
      </c>
      <c r="M206" s="226" t="s">
        <v>869</v>
      </c>
      <c r="N206" s="230">
        <v>1999.95</v>
      </c>
      <c r="O206" s="230"/>
      <c r="Q206" s="221">
        <v>10</v>
      </c>
      <c r="R206" s="112">
        <f t="shared" si="23"/>
        <v>16.657916666666669</v>
      </c>
      <c r="S206" s="223">
        <f>X206*R206</f>
        <v>1365.9491666666668</v>
      </c>
      <c r="T206" s="223">
        <f t="shared" si="24"/>
        <v>634.00083333333328</v>
      </c>
      <c r="U206" s="221">
        <v>9714</v>
      </c>
      <c r="V206" s="233"/>
      <c r="W206" s="223"/>
      <c r="X206" s="196">
        <f t="shared" si="22"/>
        <v>82</v>
      </c>
    </row>
    <row r="207" spans="1:24" s="221" customFormat="1">
      <c r="A207" s="226" t="s">
        <v>2090</v>
      </c>
      <c r="B207" s="206" t="s">
        <v>2089</v>
      </c>
      <c r="C207" s="226"/>
      <c r="D207" s="226" t="s">
        <v>2088</v>
      </c>
      <c r="E207" s="226"/>
      <c r="F207" s="226"/>
      <c r="G207" s="220" t="str">
        <f t="shared" si="21"/>
        <v>//</v>
      </c>
      <c r="H207" s="242"/>
      <c r="I207" s="242"/>
      <c r="J207" s="225"/>
      <c r="K207" s="226"/>
      <c r="L207" s="226"/>
      <c r="M207" s="226" t="s">
        <v>869</v>
      </c>
      <c r="N207" s="230">
        <v>1</v>
      </c>
      <c r="O207" s="230"/>
      <c r="Q207" s="221">
        <v>10</v>
      </c>
      <c r="R207" s="112">
        <f t="shared" si="23"/>
        <v>0</v>
      </c>
      <c r="S207" s="223">
        <v>0</v>
      </c>
      <c r="T207" s="223">
        <f t="shared" si="24"/>
        <v>1</v>
      </c>
      <c r="V207" s="233"/>
      <c r="W207" s="223"/>
      <c r="X207" s="196" t="e">
        <f t="shared" si="22"/>
        <v>#VALUE!</v>
      </c>
    </row>
    <row r="208" spans="1:24" s="221" customFormat="1">
      <c r="A208" s="206" t="s">
        <v>2087</v>
      </c>
      <c r="B208" s="206" t="s">
        <v>2086</v>
      </c>
      <c r="C208" s="206"/>
      <c r="D208" s="206"/>
      <c r="E208" s="206"/>
      <c r="F208" s="206"/>
      <c r="G208" s="220" t="str">
        <f t="shared" si="21"/>
        <v>//</v>
      </c>
      <c r="H208" s="258"/>
      <c r="I208" s="258"/>
      <c r="J208" s="257"/>
      <c r="K208" s="206"/>
      <c r="L208" s="206"/>
      <c r="M208" s="206" t="s">
        <v>869</v>
      </c>
      <c r="N208" s="256">
        <v>1</v>
      </c>
      <c r="O208" s="256"/>
      <c r="P208" s="254"/>
      <c r="Q208" s="208">
        <v>10</v>
      </c>
      <c r="R208" s="112">
        <f t="shared" si="23"/>
        <v>0</v>
      </c>
      <c r="S208" s="223">
        <v>0</v>
      </c>
      <c r="T208" s="223">
        <f t="shared" si="24"/>
        <v>1</v>
      </c>
      <c r="U208" s="208"/>
      <c r="V208" s="233"/>
      <c r="W208" s="223"/>
      <c r="X208" s="196" t="e">
        <f t="shared" si="22"/>
        <v>#VALUE!</v>
      </c>
    </row>
    <row r="209" spans="1:24" s="221" customFormat="1" ht="31.5">
      <c r="A209" s="206" t="s">
        <v>2085</v>
      </c>
      <c r="B209" s="206" t="s">
        <v>2084</v>
      </c>
      <c r="C209" s="206"/>
      <c r="D209" s="206" t="s">
        <v>2083</v>
      </c>
      <c r="E209" s="206"/>
      <c r="F209" s="206"/>
      <c r="G209" s="220" t="str">
        <f t="shared" si="21"/>
        <v>//</v>
      </c>
      <c r="H209" s="258"/>
      <c r="I209" s="258"/>
      <c r="J209" s="257"/>
      <c r="K209" s="206"/>
      <c r="L209" s="206"/>
      <c r="M209" s="206" t="s">
        <v>869</v>
      </c>
      <c r="N209" s="256">
        <v>1</v>
      </c>
      <c r="O209" s="255" t="s">
        <v>2082</v>
      </c>
      <c r="P209" s="254"/>
      <c r="Q209" s="208">
        <v>10</v>
      </c>
      <c r="R209" s="112">
        <f t="shared" si="23"/>
        <v>0</v>
      </c>
      <c r="S209" s="223">
        <v>0</v>
      </c>
      <c r="T209" s="223">
        <f t="shared" si="24"/>
        <v>1</v>
      </c>
      <c r="U209" s="208"/>
      <c r="V209" s="233"/>
      <c r="W209" s="223"/>
      <c r="X209" s="196" t="e">
        <f t="shared" si="22"/>
        <v>#VALUE!</v>
      </c>
    </row>
    <row r="210" spans="1:24" s="221" customFormat="1">
      <c r="A210" s="226" t="s">
        <v>2081</v>
      </c>
      <c r="B210" s="226" t="s">
        <v>2080</v>
      </c>
      <c r="C210" s="226"/>
      <c r="D210" s="226" t="s">
        <v>2079</v>
      </c>
      <c r="E210" s="226"/>
      <c r="F210" s="226"/>
      <c r="G210" s="220" t="str">
        <f t="shared" si="21"/>
        <v>31/12/2003</v>
      </c>
      <c r="H210" s="242">
        <v>31</v>
      </c>
      <c r="I210" s="242">
        <v>12</v>
      </c>
      <c r="J210" s="225">
        <v>2003</v>
      </c>
      <c r="K210" s="226"/>
      <c r="L210" s="226"/>
      <c r="M210" s="226" t="s">
        <v>869</v>
      </c>
      <c r="N210" s="168">
        <v>4846.95</v>
      </c>
      <c r="O210" s="243" t="s">
        <v>301</v>
      </c>
      <c r="Q210" s="221">
        <v>10</v>
      </c>
      <c r="R210" s="112">
        <f t="shared" si="23"/>
        <v>40.382916666666667</v>
      </c>
      <c r="S210" s="223">
        <f>X210*R210</f>
        <v>4845.95</v>
      </c>
      <c r="T210" s="223">
        <f t="shared" si="24"/>
        <v>1</v>
      </c>
      <c r="V210" s="233"/>
      <c r="W210" s="223"/>
      <c r="X210" s="196">
        <f t="shared" si="22"/>
        <v>120</v>
      </c>
    </row>
    <row r="211" spans="1:24" s="221" customFormat="1">
      <c r="A211" s="226" t="s">
        <v>2078</v>
      </c>
      <c r="B211" s="226" t="s">
        <v>2077</v>
      </c>
      <c r="C211" s="226"/>
      <c r="D211" s="226" t="s">
        <v>2076</v>
      </c>
      <c r="E211" s="226" t="s">
        <v>2075</v>
      </c>
      <c r="F211" s="226"/>
      <c r="G211" s="220" t="str">
        <f t="shared" si="21"/>
        <v>//</v>
      </c>
      <c r="H211" s="242"/>
      <c r="I211" s="242"/>
      <c r="J211" s="225"/>
      <c r="K211" s="226"/>
      <c r="L211" s="226"/>
      <c r="M211" s="226" t="s">
        <v>869</v>
      </c>
      <c r="N211" s="168">
        <v>1</v>
      </c>
      <c r="O211" s="168"/>
      <c r="Q211" s="221">
        <v>10</v>
      </c>
      <c r="R211" s="112">
        <f t="shared" si="23"/>
        <v>0</v>
      </c>
      <c r="S211" s="223">
        <v>0</v>
      </c>
      <c r="T211" s="223">
        <f t="shared" si="24"/>
        <v>1</v>
      </c>
      <c r="V211" s="233"/>
      <c r="W211" s="223"/>
      <c r="X211" s="196" t="e">
        <f t="shared" si="22"/>
        <v>#VALUE!</v>
      </c>
    </row>
    <row r="212" spans="1:24" s="221" customFormat="1">
      <c r="A212" s="226" t="s">
        <v>2074</v>
      </c>
      <c r="B212" s="226" t="s">
        <v>2073</v>
      </c>
      <c r="C212" s="226"/>
      <c r="D212" s="226" t="s">
        <v>2072</v>
      </c>
      <c r="E212" s="248"/>
      <c r="F212" s="248"/>
      <c r="G212" s="220" t="str">
        <f t="shared" si="21"/>
        <v>//</v>
      </c>
      <c r="H212" s="251"/>
      <c r="I212" s="251"/>
      <c r="J212" s="250"/>
      <c r="K212" s="248"/>
      <c r="L212" s="250"/>
      <c r="M212" s="226" t="s">
        <v>869</v>
      </c>
      <c r="N212" s="230">
        <v>1</v>
      </c>
      <c r="O212" s="230"/>
      <c r="Q212" s="221">
        <v>10</v>
      </c>
      <c r="R212" s="112">
        <f t="shared" si="23"/>
        <v>0</v>
      </c>
      <c r="S212" s="223">
        <v>0</v>
      </c>
      <c r="T212" s="223">
        <f t="shared" si="24"/>
        <v>1</v>
      </c>
      <c r="V212" s="233"/>
      <c r="W212" s="223"/>
      <c r="X212" s="196" t="e">
        <f t="shared" si="22"/>
        <v>#VALUE!</v>
      </c>
    </row>
    <row r="213" spans="1:24" s="221" customFormat="1">
      <c r="A213" s="226" t="s">
        <v>2071</v>
      </c>
      <c r="B213" s="226" t="s">
        <v>2070</v>
      </c>
      <c r="C213" s="226"/>
      <c r="D213" s="226" t="s">
        <v>2069</v>
      </c>
      <c r="E213" s="226"/>
      <c r="F213" s="226"/>
      <c r="G213" s="220" t="str">
        <f t="shared" si="21"/>
        <v>//</v>
      </c>
      <c r="H213" s="242"/>
      <c r="I213" s="242"/>
      <c r="J213" s="225"/>
      <c r="K213" s="226"/>
      <c r="L213" s="226"/>
      <c r="M213" s="226" t="s">
        <v>869</v>
      </c>
      <c r="N213" s="230">
        <v>1</v>
      </c>
      <c r="O213" s="230" t="s">
        <v>593</v>
      </c>
      <c r="Q213" s="221">
        <v>10</v>
      </c>
      <c r="R213" s="112">
        <f t="shared" si="23"/>
        <v>0</v>
      </c>
      <c r="S213" s="223">
        <v>0</v>
      </c>
      <c r="T213" s="223">
        <f t="shared" si="24"/>
        <v>1</v>
      </c>
      <c r="V213" s="233"/>
      <c r="W213" s="223"/>
      <c r="X213" s="196" t="e">
        <f t="shared" si="22"/>
        <v>#VALUE!</v>
      </c>
    </row>
    <row r="214" spans="1:24" s="221" customFormat="1">
      <c r="A214" s="226" t="s">
        <v>2068</v>
      </c>
      <c r="B214" s="226" t="s">
        <v>2067</v>
      </c>
      <c r="C214" s="226"/>
      <c r="D214" s="226" t="s">
        <v>2066</v>
      </c>
      <c r="E214" s="248"/>
      <c r="F214" s="248"/>
      <c r="G214" s="220" t="str">
        <f t="shared" si="21"/>
        <v>//</v>
      </c>
      <c r="H214" s="251"/>
      <c r="I214" s="251"/>
      <c r="J214" s="250"/>
      <c r="K214" s="248"/>
      <c r="L214" s="250"/>
      <c r="M214" s="226" t="s">
        <v>869</v>
      </c>
      <c r="N214" s="230">
        <v>1</v>
      </c>
      <c r="O214" s="230"/>
      <c r="Q214" s="221">
        <v>10</v>
      </c>
      <c r="R214" s="112">
        <f t="shared" si="23"/>
        <v>0</v>
      </c>
      <c r="S214" s="223">
        <v>0</v>
      </c>
      <c r="T214" s="223">
        <f t="shared" si="24"/>
        <v>1</v>
      </c>
      <c r="V214" s="233"/>
      <c r="W214" s="223"/>
      <c r="X214" s="196" t="e">
        <f t="shared" si="22"/>
        <v>#VALUE!</v>
      </c>
    </row>
    <row r="215" spans="1:24" s="221" customFormat="1">
      <c r="A215" s="226" t="s">
        <v>2065</v>
      </c>
      <c r="B215" s="226" t="s">
        <v>2064</v>
      </c>
      <c r="C215" s="226"/>
      <c r="D215" s="226" t="s">
        <v>2063</v>
      </c>
      <c r="E215" s="226"/>
      <c r="F215" s="226"/>
      <c r="G215" s="220" t="str">
        <f t="shared" si="21"/>
        <v>//</v>
      </c>
      <c r="H215" s="242"/>
      <c r="I215" s="242"/>
      <c r="J215" s="225"/>
      <c r="K215" s="226"/>
      <c r="L215" s="226"/>
      <c r="M215" s="226" t="s">
        <v>869</v>
      </c>
      <c r="N215" s="230">
        <v>1</v>
      </c>
      <c r="O215" s="230"/>
      <c r="Q215" s="221">
        <v>10</v>
      </c>
      <c r="R215" s="112">
        <f t="shared" si="23"/>
        <v>0</v>
      </c>
      <c r="S215" s="223">
        <v>0</v>
      </c>
      <c r="T215" s="223">
        <f t="shared" si="24"/>
        <v>1</v>
      </c>
      <c r="V215" s="233"/>
      <c r="W215" s="223"/>
      <c r="X215" s="196" t="e">
        <f t="shared" si="22"/>
        <v>#VALUE!</v>
      </c>
    </row>
    <row r="216" spans="1:24" s="221" customFormat="1">
      <c r="A216" s="226" t="s">
        <v>2062</v>
      </c>
      <c r="B216" s="226" t="s">
        <v>2059</v>
      </c>
      <c r="C216" s="226"/>
      <c r="D216" s="226" t="s">
        <v>2061</v>
      </c>
      <c r="E216" s="226"/>
      <c r="F216" s="226"/>
      <c r="G216" s="220" t="str">
        <f t="shared" si="21"/>
        <v>//</v>
      </c>
      <c r="H216" s="242"/>
      <c r="I216" s="242"/>
      <c r="J216" s="225"/>
      <c r="K216" s="226"/>
      <c r="L216" s="226"/>
      <c r="M216" s="226" t="s">
        <v>869</v>
      </c>
      <c r="N216" s="230">
        <v>1</v>
      </c>
      <c r="O216" s="230"/>
      <c r="Q216" s="221">
        <v>10</v>
      </c>
      <c r="R216" s="112">
        <f t="shared" si="23"/>
        <v>0</v>
      </c>
      <c r="S216" s="223">
        <v>0</v>
      </c>
      <c r="T216" s="223">
        <f t="shared" si="24"/>
        <v>1</v>
      </c>
      <c r="V216" s="233"/>
      <c r="W216" s="223"/>
      <c r="X216" s="196" t="e">
        <f t="shared" si="22"/>
        <v>#VALUE!</v>
      </c>
    </row>
    <row r="217" spans="1:24" s="221" customFormat="1">
      <c r="A217" s="226" t="s">
        <v>2060</v>
      </c>
      <c r="B217" s="226" t="s">
        <v>2059</v>
      </c>
      <c r="C217" s="226"/>
      <c r="D217" s="226"/>
      <c r="E217" s="226"/>
      <c r="F217" s="226"/>
      <c r="G217" s="220" t="str">
        <f t="shared" si="21"/>
        <v>//</v>
      </c>
      <c r="H217" s="242"/>
      <c r="I217" s="242"/>
      <c r="J217" s="225"/>
      <c r="K217" s="226"/>
      <c r="L217" s="226"/>
      <c r="M217" s="226" t="s">
        <v>869</v>
      </c>
      <c r="N217" s="230">
        <v>1</v>
      </c>
      <c r="O217" s="230"/>
      <c r="Q217" s="221">
        <v>10</v>
      </c>
      <c r="R217" s="112">
        <f t="shared" si="23"/>
        <v>0</v>
      </c>
      <c r="S217" s="223">
        <v>0</v>
      </c>
      <c r="T217" s="223">
        <f t="shared" si="24"/>
        <v>1</v>
      </c>
      <c r="V217" s="233"/>
      <c r="W217" s="223"/>
      <c r="X217" s="196" t="e">
        <f t="shared" si="22"/>
        <v>#VALUE!</v>
      </c>
    </row>
    <row r="218" spans="1:24" s="221" customFormat="1">
      <c r="A218" s="226" t="s">
        <v>2058</v>
      </c>
      <c r="B218" s="226" t="s">
        <v>2057</v>
      </c>
      <c r="C218" s="226"/>
      <c r="D218" s="226"/>
      <c r="E218" s="226"/>
      <c r="F218" s="226" t="s">
        <v>1720</v>
      </c>
      <c r="G218" s="220" t="str">
        <f t="shared" si="21"/>
        <v>27/1/2004</v>
      </c>
      <c r="H218" s="242">
        <v>27</v>
      </c>
      <c r="I218" s="242">
        <v>1</v>
      </c>
      <c r="J218" s="225">
        <v>2004</v>
      </c>
      <c r="K218" s="226" t="s">
        <v>30</v>
      </c>
      <c r="L218" s="226">
        <v>5494</v>
      </c>
      <c r="M218" s="226" t="s">
        <v>869</v>
      </c>
      <c r="N218" s="230">
        <v>3655</v>
      </c>
      <c r="O218" s="230"/>
      <c r="Q218" s="221">
        <v>10</v>
      </c>
      <c r="R218" s="112">
        <f t="shared" si="23"/>
        <v>30.45</v>
      </c>
      <c r="S218" s="223">
        <f t="shared" ref="S218:S238" si="25">X218*R218</f>
        <v>3654</v>
      </c>
      <c r="T218" s="223">
        <f t="shared" si="24"/>
        <v>1</v>
      </c>
      <c r="U218" s="221">
        <v>3182</v>
      </c>
      <c r="V218" s="233"/>
      <c r="W218" s="223"/>
      <c r="X218" s="196">
        <f t="shared" si="22"/>
        <v>120</v>
      </c>
    </row>
    <row r="219" spans="1:24" s="221" customFormat="1">
      <c r="A219" s="226" t="s">
        <v>2056</v>
      </c>
      <c r="B219" s="226" t="s">
        <v>2055</v>
      </c>
      <c r="C219" s="226"/>
      <c r="D219" s="226"/>
      <c r="E219" s="226"/>
      <c r="F219" s="226" t="s">
        <v>1739</v>
      </c>
      <c r="G219" s="220" t="str">
        <f t="shared" si="21"/>
        <v>12/8/2003</v>
      </c>
      <c r="H219" s="242">
        <v>12</v>
      </c>
      <c r="I219" s="242">
        <v>8</v>
      </c>
      <c r="J219" s="225">
        <v>2003</v>
      </c>
      <c r="K219" s="226" t="s">
        <v>1510</v>
      </c>
      <c r="L219" s="226">
        <v>727</v>
      </c>
      <c r="M219" s="226" t="s">
        <v>869</v>
      </c>
      <c r="N219" s="230">
        <v>5310</v>
      </c>
      <c r="O219" s="230"/>
      <c r="Q219" s="221">
        <v>10</v>
      </c>
      <c r="R219" s="112">
        <f t="shared" si="23"/>
        <v>44.241666666666667</v>
      </c>
      <c r="S219" s="223">
        <f t="shared" si="25"/>
        <v>5309</v>
      </c>
      <c r="T219" s="223">
        <f t="shared" si="24"/>
        <v>1</v>
      </c>
      <c r="U219" s="221">
        <v>2710</v>
      </c>
      <c r="V219" s="233"/>
      <c r="W219" s="223"/>
      <c r="X219" s="196">
        <f t="shared" si="22"/>
        <v>120</v>
      </c>
    </row>
    <row r="220" spans="1:24" s="221" customFormat="1">
      <c r="A220" s="226" t="s">
        <v>2054</v>
      </c>
      <c r="B220" s="226" t="s">
        <v>2053</v>
      </c>
      <c r="C220" s="226" t="s">
        <v>2000</v>
      </c>
      <c r="D220" s="226" t="s">
        <v>2052</v>
      </c>
      <c r="E220" s="226"/>
      <c r="F220" s="226" t="s">
        <v>492</v>
      </c>
      <c r="G220" s="220" t="str">
        <f t="shared" si="21"/>
        <v>20/12/2007</v>
      </c>
      <c r="H220" s="242">
        <v>20</v>
      </c>
      <c r="I220" s="242">
        <v>12</v>
      </c>
      <c r="J220" s="225">
        <v>2007</v>
      </c>
      <c r="K220" s="226" t="s">
        <v>30</v>
      </c>
      <c r="L220" s="226">
        <v>150008</v>
      </c>
      <c r="M220" s="226" t="s">
        <v>869</v>
      </c>
      <c r="N220" s="168">
        <v>779.52</v>
      </c>
      <c r="O220" s="168"/>
      <c r="Q220" s="221">
        <v>10</v>
      </c>
      <c r="R220" s="112">
        <f t="shared" si="23"/>
        <v>6.4876666666666667</v>
      </c>
      <c r="S220" s="223">
        <f t="shared" si="25"/>
        <v>493.06266666666664</v>
      </c>
      <c r="T220" s="223">
        <f t="shared" si="24"/>
        <v>286.45733333333334</v>
      </c>
      <c r="U220" s="221">
        <v>10394</v>
      </c>
      <c r="V220" s="233"/>
      <c r="W220" s="223"/>
      <c r="X220" s="196">
        <f t="shared" si="22"/>
        <v>76</v>
      </c>
    </row>
    <row r="221" spans="1:24" s="221" customFormat="1">
      <c r="A221" s="226" t="s">
        <v>2051</v>
      </c>
      <c r="B221" s="226" t="s">
        <v>2050</v>
      </c>
      <c r="C221" s="226" t="s">
        <v>2000</v>
      </c>
      <c r="D221" s="226" t="s">
        <v>2049</v>
      </c>
      <c r="E221" s="226"/>
      <c r="F221" s="226" t="s">
        <v>492</v>
      </c>
      <c r="G221" s="220" t="str">
        <f t="shared" si="21"/>
        <v>20/12/2007</v>
      </c>
      <c r="H221" s="242">
        <v>20</v>
      </c>
      <c r="I221" s="242">
        <v>12</v>
      </c>
      <c r="J221" s="225">
        <v>2007</v>
      </c>
      <c r="K221" s="226" t="s">
        <v>30</v>
      </c>
      <c r="L221" s="226">
        <v>150008</v>
      </c>
      <c r="M221" s="226" t="s">
        <v>869</v>
      </c>
      <c r="N221" s="168">
        <v>1299.2</v>
      </c>
      <c r="O221" s="168"/>
      <c r="Q221" s="221">
        <v>10</v>
      </c>
      <c r="R221" s="112">
        <f t="shared" si="23"/>
        <v>10.818333333333333</v>
      </c>
      <c r="S221" s="223">
        <f t="shared" si="25"/>
        <v>822.19333333333338</v>
      </c>
      <c r="T221" s="223">
        <f t="shared" si="24"/>
        <v>477.00666666666666</v>
      </c>
      <c r="U221" s="221">
        <v>10394</v>
      </c>
      <c r="V221" s="233"/>
      <c r="W221" s="223"/>
      <c r="X221" s="196">
        <f t="shared" si="22"/>
        <v>76</v>
      </c>
    </row>
    <row r="222" spans="1:24" s="221" customFormat="1">
      <c r="A222" s="226" t="s">
        <v>2048</v>
      </c>
      <c r="B222" s="226" t="s">
        <v>2047</v>
      </c>
      <c r="C222" s="226"/>
      <c r="D222" s="226"/>
      <c r="E222" s="226"/>
      <c r="F222" s="226" t="s">
        <v>1720</v>
      </c>
      <c r="G222" s="220" t="str">
        <f t="shared" si="21"/>
        <v>3/4/2004</v>
      </c>
      <c r="H222" s="242">
        <v>3</v>
      </c>
      <c r="I222" s="242">
        <v>4</v>
      </c>
      <c r="J222" s="225">
        <v>2004</v>
      </c>
      <c r="K222" s="226" t="s">
        <v>30</v>
      </c>
      <c r="L222" s="226">
        <v>2113</v>
      </c>
      <c r="M222" s="226" t="s">
        <v>869</v>
      </c>
      <c r="N222" s="230">
        <v>3492</v>
      </c>
      <c r="O222" s="230" t="s">
        <v>824</v>
      </c>
      <c r="Q222" s="221">
        <v>10</v>
      </c>
      <c r="R222" s="112">
        <f t="shared" si="23"/>
        <v>29.091666666666669</v>
      </c>
      <c r="S222" s="223">
        <f t="shared" si="25"/>
        <v>3491</v>
      </c>
      <c r="T222" s="223">
        <f t="shared" si="24"/>
        <v>1</v>
      </c>
      <c r="U222" s="221">
        <v>3837</v>
      </c>
      <c r="V222" s="233"/>
      <c r="W222" s="223"/>
      <c r="X222" s="196">
        <f t="shared" si="22"/>
        <v>120</v>
      </c>
    </row>
    <row r="223" spans="1:24" s="221" customFormat="1">
      <c r="A223" s="226" t="s">
        <v>2046</v>
      </c>
      <c r="B223" s="226" t="s">
        <v>2044</v>
      </c>
      <c r="C223" s="226"/>
      <c r="D223" s="226"/>
      <c r="E223" s="226"/>
      <c r="F223" s="226" t="s">
        <v>2043</v>
      </c>
      <c r="G223" s="220" t="str">
        <f t="shared" si="21"/>
        <v>15/11/2006</v>
      </c>
      <c r="H223" s="242">
        <v>15</v>
      </c>
      <c r="I223" s="242">
        <v>11</v>
      </c>
      <c r="J223" s="225">
        <v>2006</v>
      </c>
      <c r="K223" s="226" t="s">
        <v>1645</v>
      </c>
      <c r="L223" s="226">
        <v>1681</v>
      </c>
      <c r="M223" s="226" t="s">
        <v>869</v>
      </c>
      <c r="N223" s="230">
        <v>3967.2</v>
      </c>
      <c r="O223" s="230"/>
      <c r="Q223" s="221">
        <v>10</v>
      </c>
      <c r="R223" s="112">
        <f t="shared" si="23"/>
        <v>33.051666666666669</v>
      </c>
      <c r="S223" s="223">
        <f t="shared" si="25"/>
        <v>2941.5983333333334</v>
      </c>
      <c r="T223" s="223">
        <f t="shared" si="24"/>
        <v>1025.6016666666665</v>
      </c>
      <c r="V223" s="233"/>
      <c r="W223" s="223"/>
      <c r="X223" s="196">
        <f t="shared" si="22"/>
        <v>89</v>
      </c>
    </row>
    <row r="224" spans="1:24" s="221" customFormat="1">
      <c r="A224" s="226" t="s">
        <v>2045</v>
      </c>
      <c r="B224" s="226" t="s">
        <v>2044</v>
      </c>
      <c r="C224" s="226"/>
      <c r="D224" s="226"/>
      <c r="E224" s="226"/>
      <c r="F224" s="226" t="s">
        <v>2043</v>
      </c>
      <c r="G224" s="220" t="str">
        <f t="shared" si="21"/>
        <v>15/11/2006</v>
      </c>
      <c r="H224" s="242">
        <v>15</v>
      </c>
      <c r="I224" s="242">
        <v>11</v>
      </c>
      <c r="J224" s="225">
        <v>2006</v>
      </c>
      <c r="K224" s="226" t="s">
        <v>1645</v>
      </c>
      <c r="L224" s="226">
        <v>1681</v>
      </c>
      <c r="M224" s="226" t="s">
        <v>869</v>
      </c>
      <c r="N224" s="230">
        <v>3967.2</v>
      </c>
      <c r="O224" s="230"/>
      <c r="Q224" s="221">
        <v>10</v>
      </c>
      <c r="R224" s="112">
        <f t="shared" si="23"/>
        <v>33.051666666666669</v>
      </c>
      <c r="S224" s="223">
        <f t="shared" si="25"/>
        <v>2941.5983333333334</v>
      </c>
      <c r="T224" s="223">
        <f t="shared" si="24"/>
        <v>1025.6016666666665</v>
      </c>
      <c r="V224" s="233"/>
      <c r="W224" s="223"/>
      <c r="X224" s="196">
        <f t="shared" si="22"/>
        <v>89</v>
      </c>
    </row>
    <row r="225" spans="1:24" s="221" customFormat="1">
      <c r="A225" s="226" t="s">
        <v>2042</v>
      </c>
      <c r="B225" s="226" t="s">
        <v>2041</v>
      </c>
      <c r="C225" s="226"/>
      <c r="D225" s="226" t="s">
        <v>1984</v>
      </c>
      <c r="E225" s="226"/>
      <c r="F225" s="226" t="s">
        <v>1720</v>
      </c>
      <c r="G225" s="220" t="str">
        <f t="shared" si="21"/>
        <v>3/10/2005</v>
      </c>
      <c r="H225" s="242">
        <v>3</v>
      </c>
      <c r="I225" s="242">
        <v>10</v>
      </c>
      <c r="J225" s="225">
        <v>2005</v>
      </c>
      <c r="K225" s="226" t="s">
        <v>30</v>
      </c>
      <c r="L225" s="226">
        <v>5961</v>
      </c>
      <c r="M225" s="226" t="s">
        <v>869</v>
      </c>
      <c r="N225" s="230">
        <v>2134.4</v>
      </c>
      <c r="O225" s="230"/>
      <c r="Q225" s="221">
        <v>10</v>
      </c>
      <c r="R225" s="112">
        <f t="shared" si="23"/>
        <v>17.778333333333332</v>
      </c>
      <c r="S225" s="223">
        <f t="shared" si="25"/>
        <v>1813.3899999999999</v>
      </c>
      <c r="T225" s="223">
        <f t="shared" si="24"/>
        <v>321.01000000000022</v>
      </c>
      <c r="U225" s="221">
        <v>6098</v>
      </c>
      <c r="V225" s="233"/>
      <c r="W225" s="223"/>
      <c r="X225" s="196">
        <f t="shared" si="22"/>
        <v>102</v>
      </c>
    </row>
    <row r="226" spans="1:24" s="221" customFormat="1">
      <c r="A226" s="226" t="s">
        <v>2040</v>
      </c>
      <c r="B226" s="226" t="s">
        <v>2039</v>
      </c>
      <c r="C226" s="226"/>
      <c r="D226" s="226"/>
      <c r="E226" s="226"/>
      <c r="F226" s="226" t="s">
        <v>1720</v>
      </c>
      <c r="G226" s="220" t="str">
        <f t="shared" si="21"/>
        <v>20/6/2005</v>
      </c>
      <c r="H226" s="242">
        <v>20</v>
      </c>
      <c r="I226" s="242">
        <v>6</v>
      </c>
      <c r="J226" s="225">
        <v>2005</v>
      </c>
      <c r="K226" s="226" t="s">
        <v>30</v>
      </c>
      <c r="L226" s="225">
        <v>6063</v>
      </c>
      <c r="M226" s="226" t="s">
        <v>869</v>
      </c>
      <c r="N226" s="230">
        <v>4050.72</v>
      </c>
      <c r="O226" s="230"/>
      <c r="Q226" s="221">
        <v>10</v>
      </c>
      <c r="R226" s="112">
        <f t="shared" si="23"/>
        <v>33.747666666666667</v>
      </c>
      <c r="S226" s="223">
        <f t="shared" si="25"/>
        <v>3577.2526666666668</v>
      </c>
      <c r="T226" s="223">
        <f t="shared" si="24"/>
        <v>473.46733333333304</v>
      </c>
      <c r="U226" s="221">
        <v>6492</v>
      </c>
      <c r="V226" s="233"/>
      <c r="W226" s="223"/>
      <c r="X226" s="196">
        <f t="shared" si="22"/>
        <v>106</v>
      </c>
    </row>
    <row r="227" spans="1:24" s="221" customFormat="1" ht="14.25" customHeight="1">
      <c r="A227" s="226" t="s">
        <v>2038</v>
      </c>
      <c r="B227" s="226" t="s">
        <v>2037</v>
      </c>
      <c r="C227" s="226"/>
      <c r="D227" s="226"/>
      <c r="E227" s="226"/>
      <c r="F227" s="226" t="s">
        <v>1724</v>
      </c>
      <c r="G227" s="220" t="str">
        <f t="shared" si="21"/>
        <v>25/11/2003</v>
      </c>
      <c r="H227" s="242">
        <v>25</v>
      </c>
      <c r="I227" s="242">
        <v>11</v>
      </c>
      <c r="J227" s="225">
        <v>2003</v>
      </c>
      <c r="K227" s="226" t="s">
        <v>30</v>
      </c>
      <c r="L227" s="226" t="s">
        <v>2036</v>
      </c>
      <c r="M227" s="226" t="s">
        <v>869</v>
      </c>
      <c r="N227" s="230">
        <v>3569.6</v>
      </c>
      <c r="O227" s="230"/>
      <c r="Q227" s="221">
        <v>10</v>
      </c>
      <c r="R227" s="112">
        <f t="shared" si="23"/>
        <v>29.738333333333333</v>
      </c>
      <c r="S227" s="223">
        <f t="shared" si="25"/>
        <v>3568.6</v>
      </c>
      <c r="T227" s="223">
        <f t="shared" si="24"/>
        <v>1</v>
      </c>
      <c r="U227" s="221">
        <v>2702</v>
      </c>
      <c r="V227" s="233"/>
      <c r="W227" s="223"/>
      <c r="X227" s="196">
        <f t="shared" si="22"/>
        <v>120</v>
      </c>
    </row>
    <row r="228" spans="1:24" s="221" customFormat="1">
      <c r="A228" s="226" t="s">
        <v>2035</v>
      </c>
      <c r="B228" s="226" t="s">
        <v>2034</v>
      </c>
      <c r="C228" s="226"/>
      <c r="D228" s="226" t="s">
        <v>2033</v>
      </c>
      <c r="E228" s="226"/>
      <c r="F228" s="226" t="s">
        <v>1724</v>
      </c>
      <c r="G228" s="220" t="str">
        <f t="shared" si="21"/>
        <v>2/2/2005</v>
      </c>
      <c r="H228" s="242">
        <v>2</v>
      </c>
      <c r="I228" s="242">
        <v>2</v>
      </c>
      <c r="J228" s="225">
        <v>2005</v>
      </c>
      <c r="K228" s="226" t="s">
        <v>30</v>
      </c>
      <c r="L228" s="226">
        <v>6053</v>
      </c>
      <c r="M228" s="226" t="s">
        <v>869</v>
      </c>
      <c r="N228" s="230">
        <v>4105</v>
      </c>
      <c r="O228" s="230"/>
      <c r="Q228" s="221">
        <v>10</v>
      </c>
      <c r="R228" s="112">
        <f t="shared" si="23"/>
        <v>34.199999999999996</v>
      </c>
      <c r="S228" s="223">
        <f t="shared" si="25"/>
        <v>3761.9999999999995</v>
      </c>
      <c r="T228" s="223">
        <f t="shared" si="24"/>
        <v>343.00000000000045</v>
      </c>
      <c r="U228" s="221">
        <v>5561</v>
      </c>
      <c r="V228" s="233"/>
      <c r="W228" s="223"/>
      <c r="X228" s="196">
        <f t="shared" si="22"/>
        <v>110</v>
      </c>
    </row>
    <row r="229" spans="1:24" s="221" customFormat="1">
      <c r="A229" s="226" t="s">
        <v>2032</v>
      </c>
      <c r="B229" s="226" t="s">
        <v>2031</v>
      </c>
      <c r="C229" s="226"/>
      <c r="D229" s="226"/>
      <c r="E229" s="226"/>
      <c r="F229" s="226" t="s">
        <v>2026</v>
      </c>
      <c r="G229" s="220" t="str">
        <f t="shared" si="21"/>
        <v>3/2/2006</v>
      </c>
      <c r="H229" s="242">
        <v>3</v>
      </c>
      <c r="I229" s="242">
        <v>2</v>
      </c>
      <c r="J229" s="225">
        <v>2006</v>
      </c>
      <c r="K229" s="226" t="s">
        <v>30</v>
      </c>
      <c r="L229" s="226">
        <v>604</v>
      </c>
      <c r="M229" s="226" t="s">
        <v>869</v>
      </c>
      <c r="N229" s="230">
        <v>9176</v>
      </c>
      <c r="O229" s="230"/>
      <c r="Q229" s="221">
        <v>10</v>
      </c>
      <c r="R229" s="112">
        <f t="shared" si="23"/>
        <v>76.458333333333329</v>
      </c>
      <c r="S229" s="223">
        <f t="shared" si="25"/>
        <v>7492.9166666666661</v>
      </c>
      <c r="T229" s="223">
        <f t="shared" si="24"/>
        <v>1683.0833333333339</v>
      </c>
      <c r="U229" s="221">
        <v>7865</v>
      </c>
      <c r="V229" s="233"/>
      <c r="W229" s="223"/>
      <c r="X229" s="196">
        <f t="shared" si="22"/>
        <v>98</v>
      </c>
    </row>
    <row r="230" spans="1:24" s="221" customFormat="1">
      <c r="A230" s="226" t="s">
        <v>2030</v>
      </c>
      <c r="B230" s="226" t="s">
        <v>2029</v>
      </c>
      <c r="C230" s="226"/>
      <c r="D230" s="226"/>
      <c r="E230" s="226"/>
      <c r="F230" s="226" t="s">
        <v>2026</v>
      </c>
      <c r="G230" s="220" t="str">
        <f t="shared" si="21"/>
        <v>3/2/2006</v>
      </c>
      <c r="H230" s="242">
        <v>3</v>
      </c>
      <c r="I230" s="242">
        <v>2</v>
      </c>
      <c r="J230" s="225">
        <v>2006</v>
      </c>
      <c r="K230" s="226" t="s">
        <v>30</v>
      </c>
      <c r="L230" s="226">
        <v>604</v>
      </c>
      <c r="M230" s="226" t="s">
        <v>869</v>
      </c>
      <c r="N230" s="230">
        <v>12240</v>
      </c>
      <c r="O230" s="230"/>
      <c r="Q230" s="221">
        <v>10</v>
      </c>
      <c r="R230" s="112">
        <f t="shared" si="23"/>
        <v>101.99166666666667</v>
      </c>
      <c r="S230" s="223">
        <f t="shared" si="25"/>
        <v>9995.1833333333343</v>
      </c>
      <c r="T230" s="223">
        <f t="shared" si="24"/>
        <v>2244.8166666666657</v>
      </c>
      <c r="U230" s="221">
        <v>7856</v>
      </c>
      <c r="V230" s="233"/>
      <c r="W230" s="223"/>
      <c r="X230" s="196">
        <f t="shared" si="22"/>
        <v>98</v>
      </c>
    </row>
    <row r="231" spans="1:24" s="221" customFormat="1">
      <c r="A231" s="226" t="s">
        <v>2028</v>
      </c>
      <c r="B231" s="226" t="s">
        <v>2027</v>
      </c>
      <c r="C231" s="226"/>
      <c r="D231" s="226"/>
      <c r="E231" s="226"/>
      <c r="F231" s="226" t="s">
        <v>2026</v>
      </c>
      <c r="G231" s="220" t="str">
        <f t="shared" si="21"/>
        <v>3/2/2006</v>
      </c>
      <c r="H231" s="242">
        <v>3</v>
      </c>
      <c r="I231" s="242">
        <v>2</v>
      </c>
      <c r="J231" s="225">
        <v>2006</v>
      </c>
      <c r="K231" s="226" t="s">
        <v>30</v>
      </c>
      <c r="L231" s="226">
        <v>604</v>
      </c>
      <c r="M231" s="226" t="s">
        <v>869</v>
      </c>
      <c r="N231" s="230">
        <v>13500</v>
      </c>
      <c r="O231" s="230"/>
      <c r="Q231" s="221">
        <v>10</v>
      </c>
      <c r="R231" s="112">
        <f t="shared" si="23"/>
        <v>112.49166666666667</v>
      </c>
      <c r="S231" s="223">
        <f t="shared" si="25"/>
        <v>11024.183333333334</v>
      </c>
      <c r="T231" s="223">
        <f t="shared" si="24"/>
        <v>2475.8166666666657</v>
      </c>
      <c r="U231" s="221">
        <v>7865</v>
      </c>
      <c r="V231" s="233"/>
      <c r="W231" s="223"/>
      <c r="X231" s="196">
        <f t="shared" si="22"/>
        <v>98</v>
      </c>
    </row>
    <row r="232" spans="1:24" s="221" customFormat="1">
      <c r="A232" s="226" t="s">
        <v>2025</v>
      </c>
      <c r="B232" s="226" t="s">
        <v>2024</v>
      </c>
      <c r="C232" s="226"/>
      <c r="D232" s="226"/>
      <c r="E232" s="226"/>
      <c r="F232" s="226" t="s">
        <v>962</v>
      </c>
      <c r="G232" s="220" t="str">
        <f t="shared" si="21"/>
        <v>11/12/2007</v>
      </c>
      <c r="H232" s="242">
        <v>11</v>
      </c>
      <c r="I232" s="242">
        <v>12</v>
      </c>
      <c r="J232" s="225">
        <v>2007</v>
      </c>
      <c r="K232" s="226" t="s">
        <v>1510</v>
      </c>
      <c r="L232" s="226">
        <v>1927</v>
      </c>
      <c r="M232" s="226" t="s">
        <v>869</v>
      </c>
      <c r="N232" s="230">
        <f>4092.48-1.7</f>
        <v>4090.78</v>
      </c>
      <c r="O232" s="230"/>
      <c r="Q232" s="221">
        <v>10</v>
      </c>
      <c r="R232" s="112">
        <f t="shared" si="23"/>
        <v>34.081499999999998</v>
      </c>
      <c r="S232" s="223">
        <f t="shared" si="25"/>
        <v>2590.194</v>
      </c>
      <c r="T232" s="223">
        <f t="shared" si="24"/>
        <v>1500.5860000000002</v>
      </c>
      <c r="U232" s="221">
        <v>10394</v>
      </c>
      <c r="V232" s="233"/>
      <c r="W232" s="223"/>
      <c r="X232" s="196">
        <f t="shared" si="22"/>
        <v>76</v>
      </c>
    </row>
    <row r="233" spans="1:24" s="221" customFormat="1">
      <c r="A233" s="226" t="s">
        <v>1722</v>
      </c>
      <c r="B233" s="226" t="s">
        <v>2023</v>
      </c>
      <c r="C233" s="226"/>
      <c r="D233" s="226"/>
      <c r="E233" s="226"/>
      <c r="F233" s="226" t="s">
        <v>1720</v>
      </c>
      <c r="G233" s="220" t="str">
        <f t="shared" si="21"/>
        <v>26/11/2007</v>
      </c>
      <c r="H233" s="242">
        <v>26</v>
      </c>
      <c r="I233" s="242">
        <v>11</v>
      </c>
      <c r="J233" s="225">
        <v>2007</v>
      </c>
      <c r="K233" s="226" t="s">
        <v>1510</v>
      </c>
      <c r="L233" s="226">
        <v>1913</v>
      </c>
      <c r="M233" s="226" t="s">
        <v>869</v>
      </c>
      <c r="N233" s="230">
        <v>7609.6</v>
      </c>
      <c r="O233" s="230"/>
      <c r="Q233" s="221">
        <v>10</v>
      </c>
      <c r="R233" s="112">
        <f t="shared" si="23"/>
        <v>63.405000000000001</v>
      </c>
      <c r="S233" s="223">
        <f t="shared" si="25"/>
        <v>4882.1850000000004</v>
      </c>
      <c r="T233" s="223">
        <f t="shared" si="24"/>
        <v>2727.415</v>
      </c>
      <c r="U233" s="221">
        <v>10391</v>
      </c>
      <c r="V233" s="233"/>
      <c r="W233" s="223"/>
      <c r="X233" s="196">
        <f t="shared" si="22"/>
        <v>77</v>
      </c>
    </row>
    <row r="234" spans="1:24" s="221" customFormat="1">
      <c r="A234" s="226" t="s">
        <v>2022</v>
      </c>
      <c r="B234" s="226" t="s">
        <v>2021</v>
      </c>
      <c r="C234" s="226" t="s">
        <v>2000</v>
      </c>
      <c r="D234" s="226" t="s">
        <v>2020</v>
      </c>
      <c r="E234" s="226"/>
      <c r="F234" s="226" t="s">
        <v>492</v>
      </c>
      <c r="G234" s="220" t="str">
        <f t="shared" si="21"/>
        <v>20/12/2007</v>
      </c>
      <c r="H234" s="242">
        <v>20</v>
      </c>
      <c r="I234" s="242">
        <v>12</v>
      </c>
      <c r="J234" s="225">
        <v>2007</v>
      </c>
      <c r="K234" s="226" t="s">
        <v>30</v>
      </c>
      <c r="L234" s="226">
        <v>150008</v>
      </c>
      <c r="M234" s="226" t="s">
        <v>869</v>
      </c>
      <c r="N234" s="168">
        <v>6820.8</v>
      </c>
      <c r="O234" s="168"/>
      <c r="Q234" s="221">
        <v>10</v>
      </c>
      <c r="R234" s="112">
        <f t="shared" si="23"/>
        <v>56.831666666666671</v>
      </c>
      <c r="S234" s="223">
        <f t="shared" si="25"/>
        <v>4319.2066666666669</v>
      </c>
      <c r="T234" s="223">
        <f t="shared" si="24"/>
        <v>2501.5933333333332</v>
      </c>
      <c r="U234" s="221">
        <v>10394</v>
      </c>
      <c r="V234" s="233"/>
      <c r="W234" s="223"/>
      <c r="X234" s="196">
        <f t="shared" si="22"/>
        <v>76</v>
      </c>
    </row>
    <row r="235" spans="1:24" s="221" customFormat="1">
      <c r="A235" s="226" t="s">
        <v>2019</v>
      </c>
      <c r="B235" s="226" t="s">
        <v>2018</v>
      </c>
      <c r="C235" s="226"/>
      <c r="D235" s="226"/>
      <c r="E235" s="226"/>
      <c r="F235" s="226" t="s">
        <v>1739</v>
      </c>
      <c r="G235" s="220" t="str">
        <f t="shared" si="21"/>
        <v>28/11/2003</v>
      </c>
      <c r="H235" s="242">
        <v>28</v>
      </c>
      <c r="I235" s="242">
        <v>11</v>
      </c>
      <c r="J235" s="225">
        <v>2003</v>
      </c>
      <c r="K235" s="226" t="s">
        <v>2017</v>
      </c>
      <c r="L235" s="226">
        <v>697</v>
      </c>
      <c r="M235" s="226" t="s">
        <v>869</v>
      </c>
      <c r="N235" s="230">
        <v>1</v>
      </c>
      <c r="O235" s="230"/>
      <c r="Q235" s="221">
        <v>10</v>
      </c>
      <c r="R235" s="112">
        <f t="shared" si="23"/>
        <v>0</v>
      </c>
      <c r="S235" s="223">
        <f t="shared" si="25"/>
        <v>0</v>
      </c>
      <c r="T235" s="223">
        <f t="shared" si="24"/>
        <v>1</v>
      </c>
      <c r="U235" s="221">
        <v>2533</v>
      </c>
      <c r="V235" s="233"/>
      <c r="W235" s="223"/>
      <c r="X235" s="196">
        <f t="shared" si="22"/>
        <v>120</v>
      </c>
    </row>
    <row r="236" spans="1:24" s="221" customFormat="1">
      <c r="A236" s="226" t="s">
        <v>2016</v>
      </c>
      <c r="B236" s="226" t="s">
        <v>2013</v>
      </c>
      <c r="C236" s="226"/>
      <c r="D236" s="226"/>
      <c r="E236" s="226"/>
      <c r="F236" s="226" t="s">
        <v>962</v>
      </c>
      <c r="G236" s="220" t="str">
        <f t="shared" si="21"/>
        <v>17/12/2007</v>
      </c>
      <c r="H236" s="242">
        <v>17</v>
      </c>
      <c r="I236" s="242">
        <v>12</v>
      </c>
      <c r="J236" s="225">
        <v>2007</v>
      </c>
      <c r="K236" s="226" t="s">
        <v>30</v>
      </c>
      <c r="L236" s="226">
        <v>150028</v>
      </c>
      <c r="M236" s="226" t="s">
        <v>869</v>
      </c>
      <c r="N236" s="230">
        <v>814.78</v>
      </c>
      <c r="O236" s="230"/>
      <c r="Q236" s="221">
        <v>10</v>
      </c>
      <c r="R236" s="112">
        <f t="shared" si="23"/>
        <v>6.7815000000000003</v>
      </c>
      <c r="S236" s="223">
        <f t="shared" si="25"/>
        <v>515.39400000000001</v>
      </c>
      <c r="T236" s="223">
        <f t="shared" si="24"/>
        <v>299.38599999999997</v>
      </c>
      <c r="U236" s="221">
        <v>10414</v>
      </c>
      <c r="V236" s="233"/>
      <c r="W236" s="223"/>
      <c r="X236" s="196">
        <f t="shared" si="22"/>
        <v>76</v>
      </c>
    </row>
    <row r="237" spans="1:24" s="221" customFormat="1">
      <c r="A237" s="226" t="s">
        <v>2015</v>
      </c>
      <c r="B237" s="226" t="s">
        <v>2013</v>
      </c>
      <c r="C237" s="226"/>
      <c r="D237" s="226"/>
      <c r="E237" s="226"/>
      <c r="F237" s="226" t="s">
        <v>962</v>
      </c>
      <c r="G237" s="220" t="str">
        <f t="shared" si="21"/>
        <v>17/12/2007</v>
      </c>
      <c r="H237" s="242">
        <v>17</v>
      </c>
      <c r="I237" s="242">
        <v>12</v>
      </c>
      <c r="J237" s="225">
        <v>2007</v>
      </c>
      <c r="K237" s="226" t="s">
        <v>30</v>
      </c>
      <c r="L237" s="226">
        <v>150028</v>
      </c>
      <c r="M237" s="226" t="s">
        <v>869</v>
      </c>
      <c r="N237" s="230">
        <v>814.78</v>
      </c>
      <c r="O237" s="230"/>
      <c r="Q237" s="221">
        <v>10</v>
      </c>
      <c r="R237" s="112">
        <f t="shared" si="23"/>
        <v>6.7815000000000003</v>
      </c>
      <c r="S237" s="223">
        <f t="shared" si="25"/>
        <v>515.39400000000001</v>
      </c>
      <c r="T237" s="223">
        <f t="shared" si="24"/>
        <v>299.38599999999997</v>
      </c>
      <c r="U237" s="221">
        <v>10414</v>
      </c>
      <c r="V237" s="233"/>
      <c r="W237" s="223"/>
      <c r="X237" s="196">
        <f t="shared" si="22"/>
        <v>76</v>
      </c>
    </row>
    <row r="238" spans="1:24" s="221" customFormat="1">
      <c r="A238" s="226" t="s">
        <v>2014</v>
      </c>
      <c r="B238" s="226" t="s">
        <v>2013</v>
      </c>
      <c r="C238" s="226"/>
      <c r="D238" s="226"/>
      <c r="E238" s="226"/>
      <c r="F238" s="226" t="s">
        <v>962</v>
      </c>
      <c r="G238" s="220" t="str">
        <f t="shared" si="21"/>
        <v>17/12/2007</v>
      </c>
      <c r="H238" s="242">
        <v>17</v>
      </c>
      <c r="I238" s="242">
        <v>12</v>
      </c>
      <c r="J238" s="225">
        <v>2007</v>
      </c>
      <c r="K238" s="226" t="s">
        <v>30</v>
      </c>
      <c r="L238" s="226">
        <v>150028</v>
      </c>
      <c r="M238" s="226" t="s">
        <v>869</v>
      </c>
      <c r="N238" s="230">
        <v>814.78</v>
      </c>
      <c r="O238" s="230"/>
      <c r="Q238" s="221">
        <v>10</v>
      </c>
      <c r="R238" s="112">
        <f t="shared" si="23"/>
        <v>6.7815000000000003</v>
      </c>
      <c r="S238" s="223">
        <f t="shared" si="25"/>
        <v>515.39400000000001</v>
      </c>
      <c r="T238" s="223">
        <f t="shared" si="24"/>
        <v>299.38599999999997</v>
      </c>
      <c r="U238" s="221">
        <v>10414</v>
      </c>
      <c r="V238" s="233"/>
      <c r="W238" s="223"/>
      <c r="X238" s="196">
        <f t="shared" si="22"/>
        <v>76</v>
      </c>
    </row>
    <row r="239" spans="1:24" s="221" customFormat="1">
      <c r="A239" s="226" t="s">
        <v>2012</v>
      </c>
      <c r="B239" s="226" t="s">
        <v>2011</v>
      </c>
      <c r="C239" s="226"/>
      <c r="D239" s="226"/>
      <c r="E239" s="226"/>
      <c r="F239" s="226"/>
      <c r="G239" s="220" t="str">
        <f t="shared" si="21"/>
        <v>//</v>
      </c>
      <c r="H239" s="242"/>
      <c r="I239" s="242"/>
      <c r="J239" s="225"/>
      <c r="K239" s="226"/>
      <c r="L239" s="226"/>
      <c r="M239" s="226" t="s">
        <v>869</v>
      </c>
      <c r="N239" s="230">
        <v>1</v>
      </c>
      <c r="O239" s="230" t="s">
        <v>2010</v>
      </c>
      <c r="Q239" s="221">
        <v>10</v>
      </c>
      <c r="R239" s="112">
        <f t="shared" si="23"/>
        <v>0</v>
      </c>
      <c r="S239" s="223">
        <v>0</v>
      </c>
      <c r="T239" s="223">
        <f t="shared" si="24"/>
        <v>1</v>
      </c>
      <c r="V239" s="233"/>
      <c r="W239" s="223"/>
      <c r="X239" s="196" t="e">
        <f t="shared" si="22"/>
        <v>#VALUE!</v>
      </c>
    </row>
    <row r="240" spans="1:24" s="221" customFormat="1">
      <c r="A240" s="226" t="s">
        <v>2009</v>
      </c>
      <c r="B240" s="226" t="s">
        <v>2008</v>
      </c>
      <c r="C240" s="226" t="s">
        <v>2007</v>
      </c>
      <c r="D240" s="226" t="s">
        <v>2006</v>
      </c>
      <c r="E240" s="226" t="s">
        <v>2005</v>
      </c>
      <c r="F240" s="226" t="s">
        <v>2004</v>
      </c>
      <c r="G240" s="220" t="str">
        <f t="shared" si="21"/>
        <v>21/2/2003</v>
      </c>
      <c r="H240" s="242">
        <v>21</v>
      </c>
      <c r="I240" s="242">
        <v>2</v>
      </c>
      <c r="J240" s="225">
        <v>2003</v>
      </c>
      <c r="K240" s="226" t="s">
        <v>30</v>
      </c>
      <c r="L240" s="226" t="s">
        <v>2003</v>
      </c>
      <c r="M240" s="226" t="s">
        <v>869</v>
      </c>
      <c r="N240" s="230">
        <v>10923.4</v>
      </c>
      <c r="O240" s="230"/>
      <c r="Q240" s="221">
        <v>10</v>
      </c>
      <c r="R240" s="112">
        <f t="shared" si="23"/>
        <v>91.02</v>
      </c>
      <c r="S240" s="223">
        <f>X240*R240</f>
        <v>10922.4</v>
      </c>
      <c r="T240" s="223">
        <f t="shared" si="24"/>
        <v>1</v>
      </c>
      <c r="U240" s="221">
        <v>1043</v>
      </c>
      <c r="V240" s="233"/>
      <c r="W240" s="223"/>
      <c r="X240" s="196">
        <f t="shared" si="22"/>
        <v>120</v>
      </c>
    </row>
    <row r="241" spans="1:24" s="221" customFormat="1">
      <c r="A241" s="226" t="s">
        <v>2002</v>
      </c>
      <c r="B241" s="226" t="s">
        <v>2001</v>
      </c>
      <c r="C241" s="226" t="s">
        <v>2000</v>
      </c>
      <c r="D241" s="226" t="s">
        <v>1999</v>
      </c>
      <c r="E241" s="226"/>
      <c r="F241" s="226" t="s">
        <v>492</v>
      </c>
      <c r="G241" s="220" t="str">
        <f t="shared" si="21"/>
        <v>20/12/2007</v>
      </c>
      <c r="H241" s="242">
        <v>20</v>
      </c>
      <c r="I241" s="242">
        <v>12</v>
      </c>
      <c r="J241" s="225">
        <v>2007</v>
      </c>
      <c r="K241" s="226" t="s">
        <v>30</v>
      </c>
      <c r="L241" s="226">
        <v>150008</v>
      </c>
      <c r="M241" s="226" t="s">
        <v>869</v>
      </c>
      <c r="N241" s="168">
        <v>3776.96</v>
      </c>
      <c r="O241" s="168"/>
      <c r="Q241" s="221">
        <v>10</v>
      </c>
      <c r="R241" s="112">
        <f t="shared" si="23"/>
        <v>31.466333333333335</v>
      </c>
      <c r="S241" s="223">
        <f>X241*R241</f>
        <v>2391.4413333333337</v>
      </c>
      <c r="T241" s="223">
        <f t="shared" si="24"/>
        <v>1385.5186666666664</v>
      </c>
      <c r="U241" s="221">
        <v>10394</v>
      </c>
      <c r="V241" s="233"/>
      <c r="W241" s="223"/>
      <c r="X241" s="196">
        <f t="shared" si="22"/>
        <v>76</v>
      </c>
    </row>
    <row r="242" spans="1:24" s="221" customFormat="1">
      <c r="A242" s="226" t="s">
        <v>1998</v>
      </c>
      <c r="B242" s="226" t="s">
        <v>1997</v>
      </c>
      <c r="C242" s="226"/>
      <c r="D242" s="226"/>
      <c r="E242" s="226"/>
      <c r="F242" s="226" t="s">
        <v>1996</v>
      </c>
      <c r="G242" s="220" t="str">
        <f t="shared" si="21"/>
        <v>16/6/2004</v>
      </c>
      <c r="H242" s="242">
        <v>16</v>
      </c>
      <c r="I242" s="242">
        <v>6</v>
      </c>
      <c r="J242" s="225">
        <v>2004</v>
      </c>
      <c r="K242" s="226" t="s">
        <v>30</v>
      </c>
      <c r="L242" s="226">
        <v>685</v>
      </c>
      <c r="M242" s="226" t="s">
        <v>869</v>
      </c>
      <c r="N242" s="230">
        <v>4648</v>
      </c>
      <c r="O242" s="230"/>
      <c r="Q242" s="221">
        <v>10</v>
      </c>
      <c r="R242" s="112">
        <f t="shared" si="23"/>
        <v>38.725000000000001</v>
      </c>
      <c r="S242" s="223">
        <f>X242*R242</f>
        <v>4569.55</v>
      </c>
      <c r="T242" s="223">
        <f t="shared" si="24"/>
        <v>78.449999999999818</v>
      </c>
      <c r="U242" s="221">
        <v>4093</v>
      </c>
      <c r="V242" s="233"/>
      <c r="W242" s="223"/>
      <c r="X242" s="196">
        <f t="shared" si="22"/>
        <v>118</v>
      </c>
    </row>
    <row r="243" spans="1:24" s="221" customFormat="1">
      <c r="A243" s="226" t="s">
        <v>1995</v>
      </c>
      <c r="B243" s="226" t="s">
        <v>1994</v>
      </c>
      <c r="C243" s="226"/>
      <c r="D243" s="226" t="s">
        <v>1984</v>
      </c>
      <c r="E243" s="226"/>
      <c r="F243" s="226"/>
      <c r="G243" s="220" t="str">
        <f t="shared" si="21"/>
        <v>//</v>
      </c>
      <c r="H243" s="242"/>
      <c r="I243" s="242"/>
      <c r="J243" s="225"/>
      <c r="K243" s="226"/>
      <c r="L243" s="226"/>
      <c r="M243" s="226" t="s">
        <v>869</v>
      </c>
      <c r="N243" s="230">
        <v>1</v>
      </c>
      <c r="O243" s="230"/>
      <c r="Q243" s="221">
        <v>10</v>
      </c>
      <c r="R243" s="112">
        <f t="shared" si="23"/>
        <v>0</v>
      </c>
      <c r="S243" s="223">
        <v>0</v>
      </c>
      <c r="T243" s="223">
        <f t="shared" si="24"/>
        <v>1</v>
      </c>
      <c r="V243" s="233"/>
      <c r="W243" s="223"/>
      <c r="X243" s="196" t="e">
        <f t="shared" si="22"/>
        <v>#VALUE!</v>
      </c>
    </row>
    <row r="244" spans="1:24" s="221" customFormat="1">
      <c r="A244" s="226" t="s">
        <v>1993</v>
      </c>
      <c r="B244" s="226" t="s">
        <v>1992</v>
      </c>
      <c r="C244" s="226"/>
      <c r="D244" s="226" t="s">
        <v>1984</v>
      </c>
      <c r="E244" s="226"/>
      <c r="F244" s="226" t="s">
        <v>1720</v>
      </c>
      <c r="G244" s="220" t="str">
        <f t="shared" si="21"/>
        <v>18/2/2004</v>
      </c>
      <c r="H244" s="242">
        <v>18</v>
      </c>
      <c r="I244" s="242">
        <v>2</v>
      </c>
      <c r="J244" s="225">
        <v>2004</v>
      </c>
      <c r="K244" s="226" t="s">
        <v>30</v>
      </c>
      <c r="L244" s="226">
        <v>5509</v>
      </c>
      <c r="M244" s="226" t="s">
        <v>869</v>
      </c>
      <c r="N244" s="230">
        <v>4920</v>
      </c>
      <c r="O244" s="230"/>
      <c r="Q244" s="221">
        <v>10</v>
      </c>
      <c r="R244" s="112">
        <f t="shared" si="23"/>
        <v>40.991666666666667</v>
      </c>
      <c r="S244" s="223">
        <f>X244*R244</f>
        <v>4919</v>
      </c>
      <c r="T244" s="223">
        <f t="shared" si="24"/>
        <v>1</v>
      </c>
      <c r="U244" s="221">
        <v>3408</v>
      </c>
      <c r="V244" s="233"/>
      <c r="W244" s="223"/>
      <c r="X244" s="196">
        <f t="shared" si="22"/>
        <v>120</v>
      </c>
    </row>
    <row r="245" spans="1:24" s="221" customFormat="1">
      <c r="A245" s="226" t="s">
        <v>1991</v>
      </c>
      <c r="B245" s="226" t="s">
        <v>1990</v>
      </c>
      <c r="C245" s="226"/>
      <c r="D245" s="226" t="s">
        <v>1987</v>
      </c>
      <c r="E245" s="226"/>
      <c r="F245" s="226"/>
      <c r="G245" s="220" t="str">
        <f t="shared" si="21"/>
        <v>//</v>
      </c>
      <c r="H245" s="242"/>
      <c r="I245" s="242"/>
      <c r="J245" s="225"/>
      <c r="K245" s="226"/>
      <c r="L245" s="226"/>
      <c r="M245" s="226" t="s">
        <v>869</v>
      </c>
      <c r="N245" s="230">
        <v>1</v>
      </c>
      <c r="O245" s="230"/>
      <c r="Q245" s="221">
        <v>10</v>
      </c>
      <c r="R245" s="112">
        <f t="shared" si="23"/>
        <v>0</v>
      </c>
      <c r="S245" s="223">
        <v>0</v>
      </c>
      <c r="T245" s="223">
        <f t="shared" si="24"/>
        <v>1</v>
      </c>
      <c r="V245" s="233"/>
      <c r="W245" s="223"/>
      <c r="X245" s="196" t="e">
        <f t="shared" si="22"/>
        <v>#VALUE!</v>
      </c>
    </row>
    <row r="246" spans="1:24" s="221" customFormat="1">
      <c r="A246" s="226" t="s">
        <v>1989</v>
      </c>
      <c r="B246" s="226" t="s">
        <v>1988</v>
      </c>
      <c r="C246" s="226"/>
      <c r="D246" s="226" t="s">
        <v>1987</v>
      </c>
      <c r="E246" s="226"/>
      <c r="F246" s="226"/>
      <c r="G246" s="220" t="str">
        <f t="shared" si="21"/>
        <v>//</v>
      </c>
      <c r="H246" s="242"/>
      <c r="I246" s="242"/>
      <c r="J246" s="225"/>
      <c r="K246" s="226"/>
      <c r="L246" s="226"/>
      <c r="M246" s="226" t="s">
        <v>869</v>
      </c>
      <c r="N246" s="230">
        <v>1</v>
      </c>
      <c r="O246" s="230"/>
      <c r="Q246" s="221">
        <v>10</v>
      </c>
      <c r="R246" s="112">
        <f t="shared" si="23"/>
        <v>0</v>
      </c>
      <c r="S246" s="223">
        <v>0</v>
      </c>
      <c r="T246" s="223">
        <f t="shared" si="24"/>
        <v>1</v>
      </c>
      <c r="V246" s="233"/>
      <c r="W246" s="223"/>
      <c r="X246" s="196" t="e">
        <f t="shared" si="22"/>
        <v>#VALUE!</v>
      </c>
    </row>
    <row r="247" spans="1:24" s="221" customFormat="1">
      <c r="A247" s="226" t="s">
        <v>1986</v>
      </c>
      <c r="B247" s="226" t="s">
        <v>1985</v>
      </c>
      <c r="C247" s="226"/>
      <c r="D247" s="226" t="s">
        <v>1984</v>
      </c>
      <c r="E247" s="226"/>
      <c r="F247" s="226" t="s">
        <v>1972</v>
      </c>
      <c r="G247" s="220" t="str">
        <f t="shared" si="21"/>
        <v>13/1/2003</v>
      </c>
      <c r="H247" s="242">
        <v>13</v>
      </c>
      <c r="I247" s="242">
        <v>1</v>
      </c>
      <c r="J247" s="225">
        <v>2003</v>
      </c>
      <c r="K247" s="226" t="s">
        <v>30</v>
      </c>
      <c r="L247" s="226">
        <v>26690</v>
      </c>
      <c r="M247" s="226" t="s">
        <v>869</v>
      </c>
      <c r="N247" s="230">
        <v>6139.39</v>
      </c>
      <c r="O247" s="230" t="s">
        <v>593</v>
      </c>
      <c r="Q247" s="221">
        <v>10</v>
      </c>
      <c r="R247" s="112">
        <f t="shared" si="23"/>
        <v>51.153250000000007</v>
      </c>
      <c r="S247" s="223">
        <f t="shared" ref="S247:S262" si="26">X247*R247</f>
        <v>6138.3900000000012</v>
      </c>
      <c r="T247" s="223">
        <f t="shared" si="24"/>
        <v>0.99999999999909051</v>
      </c>
      <c r="U247" s="221">
        <v>912</v>
      </c>
      <c r="V247" s="233"/>
      <c r="W247" s="223"/>
      <c r="X247" s="196">
        <f t="shared" si="22"/>
        <v>120</v>
      </c>
    </row>
    <row r="248" spans="1:24" s="221" customFormat="1">
      <c r="A248" s="226" t="s">
        <v>1983</v>
      </c>
      <c r="B248" s="226" t="s">
        <v>1982</v>
      </c>
      <c r="C248" s="226"/>
      <c r="D248" s="226" t="s">
        <v>1979</v>
      </c>
      <c r="E248" s="226"/>
      <c r="F248" s="226" t="s">
        <v>1972</v>
      </c>
      <c r="G248" s="220" t="str">
        <f t="shared" si="21"/>
        <v>3/11/2003</v>
      </c>
      <c r="H248" s="242">
        <v>3</v>
      </c>
      <c r="I248" s="242">
        <v>11</v>
      </c>
      <c r="J248" s="225">
        <v>2003</v>
      </c>
      <c r="K248" s="226" t="s">
        <v>30</v>
      </c>
      <c r="L248" s="226">
        <v>27730</v>
      </c>
      <c r="M248" s="226" t="s">
        <v>869</v>
      </c>
      <c r="N248" s="230">
        <v>2391.42</v>
      </c>
      <c r="O248" s="230"/>
      <c r="Q248" s="221">
        <v>10</v>
      </c>
      <c r="R248" s="112">
        <f t="shared" si="23"/>
        <v>19.920166666666667</v>
      </c>
      <c r="S248" s="223">
        <f t="shared" si="26"/>
        <v>2390.42</v>
      </c>
      <c r="T248" s="223">
        <f t="shared" si="24"/>
        <v>1</v>
      </c>
      <c r="U248" s="221">
        <v>1070</v>
      </c>
      <c r="V248" s="233"/>
      <c r="W248" s="223"/>
      <c r="X248" s="196">
        <f t="shared" si="22"/>
        <v>120</v>
      </c>
    </row>
    <row r="249" spans="1:24" s="208" customFormat="1">
      <c r="A249" s="483" t="s">
        <v>1981</v>
      </c>
      <c r="B249" s="483" t="s">
        <v>1980</v>
      </c>
      <c r="C249" s="483"/>
      <c r="D249" s="483" t="s">
        <v>1979</v>
      </c>
      <c r="E249" s="483"/>
      <c r="F249" s="483" t="s">
        <v>1972</v>
      </c>
      <c r="G249" s="484" t="str">
        <f t="shared" si="21"/>
        <v>24/4/2003</v>
      </c>
      <c r="H249" s="485">
        <v>24</v>
      </c>
      <c r="I249" s="485">
        <v>4</v>
      </c>
      <c r="J249" s="486">
        <v>2003</v>
      </c>
      <c r="K249" s="483" t="s">
        <v>30</v>
      </c>
      <c r="L249" s="483">
        <v>28496</v>
      </c>
      <c r="M249" s="483" t="s">
        <v>869</v>
      </c>
      <c r="N249" s="487">
        <v>2512</v>
      </c>
      <c r="O249" s="230"/>
      <c r="P249" s="221"/>
      <c r="Q249" s="488">
        <v>10</v>
      </c>
      <c r="R249" s="489">
        <f t="shared" si="23"/>
        <v>20.925000000000001</v>
      </c>
      <c r="S249" s="490">
        <f t="shared" si="26"/>
        <v>2511</v>
      </c>
      <c r="T249" s="490">
        <f t="shared" si="24"/>
        <v>1</v>
      </c>
      <c r="U249" s="488">
        <v>1259</v>
      </c>
      <c r="V249" s="491"/>
      <c r="W249" s="490"/>
      <c r="X249" s="492">
        <f t="shared" si="22"/>
        <v>120</v>
      </c>
    </row>
    <row r="250" spans="1:24" s="208" customFormat="1">
      <c r="A250" s="226" t="s">
        <v>1978</v>
      </c>
      <c r="B250" s="226" t="s">
        <v>1977</v>
      </c>
      <c r="C250" s="226"/>
      <c r="D250" s="226" t="s">
        <v>1976</v>
      </c>
      <c r="E250" s="248"/>
      <c r="F250" s="248" t="s">
        <v>1972</v>
      </c>
      <c r="G250" s="220" t="str">
        <f t="shared" si="21"/>
        <v>25/4/2003</v>
      </c>
      <c r="H250" s="251">
        <v>25</v>
      </c>
      <c r="I250" s="251">
        <v>4</v>
      </c>
      <c r="J250" s="250">
        <v>2003</v>
      </c>
      <c r="K250" s="248" t="s">
        <v>30</v>
      </c>
      <c r="L250" s="250">
        <v>28496</v>
      </c>
      <c r="M250" s="226" t="s">
        <v>869</v>
      </c>
      <c r="N250" s="230">
        <v>2512</v>
      </c>
      <c r="O250" s="230" t="s">
        <v>593</v>
      </c>
      <c r="P250" s="221"/>
      <c r="Q250" s="221">
        <v>10</v>
      </c>
      <c r="R250" s="112">
        <f t="shared" si="23"/>
        <v>20.925000000000001</v>
      </c>
      <c r="S250" s="223">
        <f t="shared" si="26"/>
        <v>2511</v>
      </c>
      <c r="T250" s="223">
        <f t="shared" si="24"/>
        <v>1</v>
      </c>
      <c r="U250" s="221">
        <v>1259</v>
      </c>
      <c r="V250" s="233"/>
      <c r="W250" s="223"/>
      <c r="X250" s="196">
        <f t="shared" si="22"/>
        <v>120</v>
      </c>
    </row>
    <row r="251" spans="1:24" s="221" customFormat="1">
      <c r="A251" s="226" t="s">
        <v>1975</v>
      </c>
      <c r="B251" s="226" t="s">
        <v>1974</v>
      </c>
      <c r="C251" s="226"/>
      <c r="D251" s="226" t="s">
        <v>1973</v>
      </c>
      <c r="E251" s="226"/>
      <c r="F251" s="226" t="s">
        <v>1972</v>
      </c>
      <c r="G251" s="220" t="str">
        <f t="shared" si="21"/>
        <v>16/1/2003</v>
      </c>
      <c r="H251" s="242">
        <v>16</v>
      </c>
      <c r="I251" s="242">
        <v>1</v>
      </c>
      <c r="J251" s="225">
        <v>2003</v>
      </c>
      <c r="K251" s="226" t="s">
        <v>30</v>
      </c>
      <c r="L251" s="226">
        <v>26779</v>
      </c>
      <c r="M251" s="226" t="s">
        <v>869</v>
      </c>
      <c r="N251" s="230">
        <v>2046.46</v>
      </c>
      <c r="O251" s="230"/>
      <c r="Q251" s="221">
        <v>10</v>
      </c>
      <c r="R251" s="112">
        <f t="shared" si="23"/>
        <v>17.045500000000001</v>
      </c>
      <c r="S251" s="223">
        <f t="shared" si="26"/>
        <v>2045.46</v>
      </c>
      <c r="T251" s="223">
        <f t="shared" si="24"/>
        <v>1</v>
      </c>
      <c r="U251" s="221">
        <v>913</v>
      </c>
      <c r="V251" s="233"/>
      <c r="W251" s="223"/>
      <c r="X251" s="196">
        <f t="shared" si="22"/>
        <v>120</v>
      </c>
    </row>
    <row r="252" spans="1:24" s="221" customFormat="1">
      <c r="A252" s="226" t="s">
        <v>1971</v>
      </c>
      <c r="B252" s="226" t="s">
        <v>1969</v>
      </c>
      <c r="C252" s="226"/>
      <c r="D252" s="226"/>
      <c r="E252" s="226"/>
      <c r="F252" s="226" t="s">
        <v>492</v>
      </c>
      <c r="G252" s="220" t="str">
        <f t="shared" si="21"/>
        <v>21/12/2007</v>
      </c>
      <c r="H252" s="242">
        <v>21</v>
      </c>
      <c r="I252" s="242">
        <v>12</v>
      </c>
      <c r="J252" s="225">
        <v>2007</v>
      </c>
      <c r="K252" s="226" t="s">
        <v>30</v>
      </c>
      <c r="L252" s="226">
        <v>150028</v>
      </c>
      <c r="M252" s="226" t="s">
        <v>869</v>
      </c>
      <c r="N252" s="168">
        <v>3470.72</v>
      </c>
      <c r="O252" s="168"/>
      <c r="Q252" s="221">
        <v>10</v>
      </c>
      <c r="R252" s="112">
        <f t="shared" si="23"/>
        <v>28.914333333333332</v>
      </c>
      <c r="S252" s="223">
        <f t="shared" si="26"/>
        <v>2197.489333333333</v>
      </c>
      <c r="T252" s="223">
        <f t="shared" si="24"/>
        <v>1273.2306666666668</v>
      </c>
      <c r="U252" s="221">
        <v>10462</v>
      </c>
      <c r="V252" s="233"/>
      <c r="W252" s="223"/>
      <c r="X252" s="196">
        <f t="shared" si="22"/>
        <v>76</v>
      </c>
    </row>
    <row r="253" spans="1:24" s="221" customFormat="1">
      <c r="A253" s="226" t="s">
        <v>1970</v>
      </c>
      <c r="B253" s="226" t="s">
        <v>1969</v>
      </c>
      <c r="C253" s="226"/>
      <c r="D253" s="226"/>
      <c r="E253" s="226"/>
      <c r="F253" s="226" t="s">
        <v>492</v>
      </c>
      <c r="G253" s="220" t="str">
        <f t="shared" si="21"/>
        <v>21/12/2007</v>
      </c>
      <c r="H253" s="242">
        <v>21</v>
      </c>
      <c r="I253" s="242">
        <v>12</v>
      </c>
      <c r="J253" s="225">
        <v>2007</v>
      </c>
      <c r="K253" s="226" t="s">
        <v>30</v>
      </c>
      <c r="L253" s="226">
        <v>150028</v>
      </c>
      <c r="M253" s="226" t="s">
        <v>869</v>
      </c>
      <c r="N253" s="168">
        <v>3470.72</v>
      </c>
      <c r="O253" s="168"/>
      <c r="Q253" s="221">
        <v>10</v>
      </c>
      <c r="R253" s="112">
        <f t="shared" si="23"/>
        <v>28.914333333333332</v>
      </c>
      <c r="S253" s="223">
        <f t="shared" si="26"/>
        <v>2197.489333333333</v>
      </c>
      <c r="T253" s="223">
        <f t="shared" si="24"/>
        <v>1273.2306666666668</v>
      </c>
      <c r="U253" s="221">
        <v>10462</v>
      </c>
      <c r="V253" s="233"/>
      <c r="W253" s="223"/>
      <c r="X253" s="196">
        <f t="shared" si="22"/>
        <v>76</v>
      </c>
    </row>
    <row r="254" spans="1:24" s="221" customFormat="1">
      <c r="A254" s="226" t="s">
        <v>1968</v>
      </c>
      <c r="B254" s="226" t="s">
        <v>1966</v>
      </c>
      <c r="C254" s="226"/>
      <c r="D254" s="226"/>
      <c r="E254" s="226"/>
      <c r="F254" s="226" t="s">
        <v>492</v>
      </c>
      <c r="G254" s="220" t="str">
        <f t="shared" si="21"/>
        <v>21/12/2007</v>
      </c>
      <c r="H254" s="242">
        <v>21</v>
      </c>
      <c r="I254" s="242">
        <v>12</v>
      </c>
      <c r="J254" s="225">
        <v>2007</v>
      </c>
      <c r="K254" s="226" t="s">
        <v>30</v>
      </c>
      <c r="L254" s="226">
        <v>150028</v>
      </c>
      <c r="M254" s="226" t="s">
        <v>869</v>
      </c>
      <c r="N254" s="168">
        <v>3776.96</v>
      </c>
      <c r="O254" s="168"/>
      <c r="Q254" s="221">
        <v>10</v>
      </c>
      <c r="R254" s="112">
        <f t="shared" si="23"/>
        <v>31.466333333333335</v>
      </c>
      <c r="S254" s="223">
        <f t="shared" si="26"/>
        <v>2391.4413333333337</v>
      </c>
      <c r="T254" s="223">
        <f t="shared" si="24"/>
        <v>1385.5186666666664</v>
      </c>
      <c r="U254" s="221">
        <v>10462</v>
      </c>
      <c r="V254" s="233"/>
      <c r="W254" s="223"/>
      <c r="X254" s="196">
        <f t="shared" si="22"/>
        <v>76</v>
      </c>
    </row>
    <row r="255" spans="1:24" s="221" customFormat="1">
      <c r="A255" s="226" t="s">
        <v>1967</v>
      </c>
      <c r="B255" s="226" t="s">
        <v>1966</v>
      </c>
      <c r="C255" s="226"/>
      <c r="D255" s="226"/>
      <c r="E255" s="226"/>
      <c r="F255" s="226" t="s">
        <v>492</v>
      </c>
      <c r="G255" s="220" t="str">
        <f t="shared" si="21"/>
        <v>21/12/2007</v>
      </c>
      <c r="H255" s="242">
        <v>21</v>
      </c>
      <c r="I255" s="242">
        <v>12</v>
      </c>
      <c r="J255" s="225">
        <v>2007</v>
      </c>
      <c r="K255" s="226" t="s">
        <v>30</v>
      </c>
      <c r="L255" s="226">
        <v>150028</v>
      </c>
      <c r="M255" s="226" t="s">
        <v>869</v>
      </c>
      <c r="N255" s="168">
        <v>3776.96</v>
      </c>
      <c r="O255" s="168"/>
      <c r="Q255" s="221">
        <v>10</v>
      </c>
      <c r="R255" s="112">
        <f t="shared" si="23"/>
        <v>31.466333333333335</v>
      </c>
      <c r="S255" s="223">
        <f t="shared" si="26"/>
        <v>2391.4413333333337</v>
      </c>
      <c r="T255" s="223">
        <f t="shared" si="24"/>
        <v>1385.5186666666664</v>
      </c>
      <c r="U255" s="221">
        <v>10462</v>
      </c>
      <c r="V255" s="233"/>
      <c r="W255" s="223"/>
      <c r="X255" s="196">
        <f t="shared" si="22"/>
        <v>76</v>
      </c>
    </row>
    <row r="256" spans="1:24" s="221" customFormat="1">
      <c r="A256" s="226" t="s">
        <v>1965</v>
      </c>
      <c r="B256" s="226" t="s">
        <v>1964</v>
      </c>
      <c r="C256" s="226"/>
      <c r="D256" s="226"/>
      <c r="E256" s="226"/>
      <c r="F256" s="226" t="s">
        <v>1958</v>
      </c>
      <c r="G256" s="220" t="str">
        <f t="shared" si="21"/>
        <v>9/5/2006</v>
      </c>
      <c r="H256" s="242">
        <v>9</v>
      </c>
      <c r="I256" s="242">
        <v>5</v>
      </c>
      <c r="J256" s="225">
        <v>2006</v>
      </c>
      <c r="K256" s="226" t="s">
        <v>1645</v>
      </c>
      <c r="L256" s="226">
        <v>1591</v>
      </c>
      <c r="M256" s="226" t="s">
        <v>869</v>
      </c>
      <c r="N256" s="230">
        <v>1125.2</v>
      </c>
      <c r="O256" s="230" t="s">
        <v>1685</v>
      </c>
      <c r="Q256" s="221">
        <v>10</v>
      </c>
      <c r="R256" s="112">
        <f t="shared" si="23"/>
        <v>9.3683333333333341</v>
      </c>
      <c r="S256" s="223">
        <f t="shared" si="26"/>
        <v>889.99166666666679</v>
      </c>
      <c r="T256" s="223">
        <f t="shared" si="24"/>
        <v>235.20833333333326</v>
      </c>
      <c r="U256" s="221">
        <v>8260</v>
      </c>
      <c r="V256" s="233"/>
      <c r="W256" s="223"/>
      <c r="X256" s="196">
        <f t="shared" si="22"/>
        <v>95</v>
      </c>
    </row>
    <row r="257" spans="1:24" s="221" customFormat="1">
      <c r="A257" s="226" t="s">
        <v>1963</v>
      </c>
      <c r="B257" s="226" t="s">
        <v>1959</v>
      </c>
      <c r="C257" s="226"/>
      <c r="D257" s="226"/>
      <c r="E257" s="226"/>
      <c r="F257" s="226" t="s">
        <v>1958</v>
      </c>
      <c r="G257" s="220" t="str">
        <f t="shared" si="21"/>
        <v>9/5/2006</v>
      </c>
      <c r="H257" s="242">
        <v>9</v>
      </c>
      <c r="I257" s="242">
        <v>5</v>
      </c>
      <c r="J257" s="225">
        <v>2006</v>
      </c>
      <c r="K257" s="226" t="s">
        <v>1645</v>
      </c>
      <c r="L257" s="226">
        <v>1591</v>
      </c>
      <c r="M257" s="226" t="s">
        <v>869</v>
      </c>
      <c r="N257" s="230">
        <v>1125.2</v>
      </c>
      <c r="O257" s="230" t="s">
        <v>1860</v>
      </c>
      <c r="Q257" s="221">
        <v>10</v>
      </c>
      <c r="R257" s="112">
        <f t="shared" si="23"/>
        <v>9.3683333333333341</v>
      </c>
      <c r="S257" s="223">
        <f t="shared" si="26"/>
        <v>889.99166666666679</v>
      </c>
      <c r="T257" s="223">
        <f t="shared" si="24"/>
        <v>235.20833333333326</v>
      </c>
      <c r="U257" s="221">
        <v>8260</v>
      </c>
      <c r="V257" s="233"/>
      <c r="W257" s="223"/>
      <c r="X257" s="196">
        <f t="shared" si="22"/>
        <v>95</v>
      </c>
    </row>
    <row r="258" spans="1:24" s="221" customFormat="1">
      <c r="A258" s="226" t="s">
        <v>1962</v>
      </c>
      <c r="B258" s="226" t="s">
        <v>1959</v>
      </c>
      <c r="C258" s="226"/>
      <c r="D258" s="226"/>
      <c r="E258" s="226"/>
      <c r="F258" s="226" t="s">
        <v>1958</v>
      </c>
      <c r="G258" s="220" t="str">
        <f t="shared" si="21"/>
        <v>9/5/2006</v>
      </c>
      <c r="H258" s="242">
        <v>9</v>
      </c>
      <c r="I258" s="242">
        <v>5</v>
      </c>
      <c r="J258" s="225">
        <v>2006</v>
      </c>
      <c r="K258" s="226" t="s">
        <v>1645</v>
      </c>
      <c r="L258" s="226">
        <v>1591</v>
      </c>
      <c r="M258" s="226" t="s">
        <v>869</v>
      </c>
      <c r="N258" s="230">
        <v>1125.2</v>
      </c>
      <c r="O258" s="230" t="s">
        <v>1961</v>
      </c>
      <c r="Q258" s="221">
        <v>10</v>
      </c>
      <c r="R258" s="112">
        <f t="shared" si="23"/>
        <v>9.3683333333333341</v>
      </c>
      <c r="S258" s="223">
        <f t="shared" si="26"/>
        <v>889.99166666666679</v>
      </c>
      <c r="T258" s="223">
        <f t="shared" si="24"/>
        <v>235.20833333333326</v>
      </c>
      <c r="U258" s="221">
        <v>8260</v>
      </c>
      <c r="V258" s="233"/>
      <c r="W258" s="223"/>
      <c r="X258" s="196">
        <f t="shared" si="22"/>
        <v>95</v>
      </c>
    </row>
    <row r="259" spans="1:24" s="221" customFormat="1">
      <c r="A259" s="483" t="s">
        <v>1960</v>
      </c>
      <c r="B259" s="483" t="s">
        <v>1959</v>
      </c>
      <c r="C259" s="483"/>
      <c r="D259" s="483"/>
      <c r="E259" s="483"/>
      <c r="F259" s="483" t="s">
        <v>1958</v>
      </c>
      <c r="G259" s="484" t="str">
        <f t="shared" si="21"/>
        <v>9/5/2006</v>
      </c>
      <c r="H259" s="485">
        <v>9</v>
      </c>
      <c r="I259" s="485">
        <v>5</v>
      </c>
      <c r="J259" s="486">
        <v>2006</v>
      </c>
      <c r="K259" s="483" t="s">
        <v>1645</v>
      </c>
      <c r="L259" s="483">
        <v>1591</v>
      </c>
      <c r="M259" s="483" t="s">
        <v>869</v>
      </c>
      <c r="N259" s="487">
        <v>1125.2</v>
      </c>
      <c r="O259" s="230"/>
      <c r="Q259" s="488">
        <v>10</v>
      </c>
      <c r="R259" s="489">
        <f t="shared" si="23"/>
        <v>9.3683333333333341</v>
      </c>
      <c r="S259" s="490">
        <f t="shared" si="26"/>
        <v>889.99166666666679</v>
      </c>
      <c r="T259" s="490">
        <f t="shared" si="24"/>
        <v>235.20833333333326</v>
      </c>
      <c r="U259" s="488">
        <v>8260</v>
      </c>
      <c r="V259" s="491"/>
      <c r="W259" s="490"/>
      <c r="X259" s="492">
        <f t="shared" si="22"/>
        <v>95</v>
      </c>
    </row>
    <row r="260" spans="1:24" s="221" customFormat="1" ht="31.5">
      <c r="A260" s="226" t="s">
        <v>1957</v>
      </c>
      <c r="B260" s="226" t="s">
        <v>1956</v>
      </c>
      <c r="C260" s="226"/>
      <c r="D260" s="226"/>
      <c r="E260" s="226"/>
      <c r="F260" s="226" t="s">
        <v>1739</v>
      </c>
      <c r="G260" s="220" t="str">
        <f t="shared" si="21"/>
        <v>12/8/2003</v>
      </c>
      <c r="H260" s="242">
        <v>12</v>
      </c>
      <c r="I260" s="242">
        <v>8</v>
      </c>
      <c r="J260" s="225">
        <v>2003</v>
      </c>
      <c r="K260" s="226" t="s">
        <v>1510</v>
      </c>
      <c r="L260" s="226">
        <v>727</v>
      </c>
      <c r="M260" s="226" t="s">
        <v>869</v>
      </c>
      <c r="N260" s="230">
        <v>1201.5</v>
      </c>
      <c r="O260" s="199" t="s">
        <v>1951</v>
      </c>
      <c r="Q260" s="221">
        <v>10</v>
      </c>
      <c r="R260" s="112">
        <f t="shared" si="23"/>
        <v>10.004166666666666</v>
      </c>
      <c r="S260" s="223">
        <f t="shared" si="26"/>
        <v>1200.5</v>
      </c>
      <c r="T260" s="223">
        <f t="shared" si="24"/>
        <v>1</v>
      </c>
      <c r="U260" s="221">
        <v>2710</v>
      </c>
      <c r="V260" s="233"/>
      <c r="W260" s="223"/>
      <c r="X260" s="196">
        <f t="shared" si="22"/>
        <v>120</v>
      </c>
    </row>
    <row r="261" spans="1:24" s="221" customFormat="1" ht="31.5">
      <c r="A261" s="226" t="s">
        <v>1955</v>
      </c>
      <c r="B261" s="226" t="s">
        <v>1952</v>
      </c>
      <c r="C261" s="226"/>
      <c r="D261" s="226"/>
      <c r="E261" s="226"/>
      <c r="F261" s="226" t="s">
        <v>1739</v>
      </c>
      <c r="G261" s="220" t="str">
        <f t="shared" si="21"/>
        <v>12/8/2003</v>
      </c>
      <c r="H261" s="242">
        <v>12</v>
      </c>
      <c r="I261" s="242">
        <v>8</v>
      </c>
      <c r="J261" s="225">
        <v>2003</v>
      </c>
      <c r="K261" s="226" t="s">
        <v>1510</v>
      </c>
      <c r="L261" s="226">
        <v>727</v>
      </c>
      <c r="M261" s="226" t="s">
        <v>869</v>
      </c>
      <c r="N261" s="230">
        <v>1201.5</v>
      </c>
      <c r="O261" s="199" t="s">
        <v>1954</v>
      </c>
      <c r="Q261" s="221">
        <v>10</v>
      </c>
      <c r="R261" s="112">
        <f t="shared" si="23"/>
        <v>10.004166666666666</v>
      </c>
      <c r="S261" s="223">
        <f t="shared" si="26"/>
        <v>1200.5</v>
      </c>
      <c r="T261" s="223">
        <f t="shared" si="24"/>
        <v>1</v>
      </c>
      <c r="U261" s="221">
        <v>2710</v>
      </c>
      <c r="V261" s="233"/>
      <c r="W261" s="223"/>
      <c r="X261" s="196">
        <f t="shared" si="22"/>
        <v>120</v>
      </c>
    </row>
    <row r="262" spans="1:24" s="221" customFormat="1" ht="31.5">
      <c r="A262" s="226" t="s">
        <v>1953</v>
      </c>
      <c r="B262" s="226" t="s">
        <v>1952</v>
      </c>
      <c r="C262" s="226"/>
      <c r="D262" s="226"/>
      <c r="E262" s="226"/>
      <c r="F262" s="226" t="s">
        <v>1739</v>
      </c>
      <c r="G262" s="220" t="str">
        <f t="shared" si="21"/>
        <v>12/8/2003</v>
      </c>
      <c r="H262" s="242">
        <v>12</v>
      </c>
      <c r="I262" s="242">
        <v>8</v>
      </c>
      <c r="J262" s="225">
        <v>2003</v>
      </c>
      <c r="K262" s="226" t="s">
        <v>1510</v>
      </c>
      <c r="L262" s="226">
        <v>727</v>
      </c>
      <c r="M262" s="226" t="s">
        <v>869</v>
      </c>
      <c r="N262" s="230">
        <v>1201.5</v>
      </c>
      <c r="O262" s="199" t="s">
        <v>1951</v>
      </c>
      <c r="Q262" s="221">
        <v>10</v>
      </c>
      <c r="R262" s="112">
        <f t="shared" si="23"/>
        <v>10.004166666666666</v>
      </c>
      <c r="S262" s="223">
        <f t="shared" si="26"/>
        <v>1200.5</v>
      </c>
      <c r="T262" s="223">
        <f t="shared" si="24"/>
        <v>1</v>
      </c>
      <c r="U262" s="221">
        <v>2710</v>
      </c>
      <c r="V262" s="233"/>
      <c r="W262" s="223"/>
      <c r="X262" s="196">
        <f t="shared" si="22"/>
        <v>120</v>
      </c>
    </row>
    <row r="263" spans="1:24" s="221" customFormat="1">
      <c r="A263" s="226" t="s">
        <v>1950</v>
      </c>
      <c r="B263" s="226" t="s">
        <v>1946</v>
      </c>
      <c r="C263" s="226"/>
      <c r="D263" s="226"/>
      <c r="E263" s="226"/>
      <c r="F263" s="226"/>
      <c r="G263" s="220" t="str">
        <f t="shared" ref="G263:G326" si="27">CONCATENATE(H263,"/",I263,"/",J263,)</f>
        <v>//</v>
      </c>
      <c r="H263" s="242"/>
      <c r="I263" s="242"/>
      <c r="J263" s="225"/>
      <c r="K263" s="226"/>
      <c r="L263" s="225"/>
      <c r="M263" s="226" t="s">
        <v>869</v>
      </c>
      <c r="N263" s="230">
        <v>1</v>
      </c>
      <c r="O263" s="230"/>
      <c r="Q263" s="221">
        <v>10</v>
      </c>
      <c r="R263" s="112">
        <f t="shared" si="23"/>
        <v>0</v>
      </c>
      <c r="S263" s="223">
        <v>0</v>
      </c>
      <c r="T263" s="223">
        <f t="shared" si="24"/>
        <v>1</v>
      </c>
      <c r="V263" s="233"/>
      <c r="W263" s="223"/>
      <c r="X263" s="196" t="e">
        <f t="shared" ref="X263:X326" si="28">IF((DATEDIF(G263,X$4,"m"))&gt;=120,120,(DATEDIF(G263,X$4,"m")))</f>
        <v>#VALUE!</v>
      </c>
    </row>
    <row r="264" spans="1:24" s="221" customFormat="1">
      <c r="A264" s="226" t="s">
        <v>1949</v>
      </c>
      <c r="B264" s="226" t="s">
        <v>1946</v>
      </c>
      <c r="C264" s="226"/>
      <c r="D264" s="226"/>
      <c r="E264" s="226"/>
      <c r="F264" s="226"/>
      <c r="G264" s="220" t="str">
        <f t="shared" si="27"/>
        <v>//</v>
      </c>
      <c r="H264" s="242"/>
      <c r="I264" s="242"/>
      <c r="J264" s="225"/>
      <c r="K264" s="226"/>
      <c r="L264" s="225"/>
      <c r="M264" s="226" t="s">
        <v>869</v>
      </c>
      <c r="N264" s="230">
        <v>1</v>
      </c>
      <c r="O264" s="230"/>
      <c r="Q264" s="221">
        <v>10</v>
      </c>
      <c r="R264" s="112">
        <f t="shared" si="23"/>
        <v>0</v>
      </c>
      <c r="S264" s="223">
        <v>0</v>
      </c>
      <c r="T264" s="223">
        <f t="shared" si="24"/>
        <v>1</v>
      </c>
      <c r="V264" s="233"/>
      <c r="W264" s="223"/>
      <c r="X264" s="196" t="e">
        <f t="shared" si="28"/>
        <v>#VALUE!</v>
      </c>
    </row>
    <row r="265" spans="1:24" s="221" customFormat="1">
      <c r="A265" s="226" t="s">
        <v>1948</v>
      </c>
      <c r="B265" s="226" t="s">
        <v>1946</v>
      </c>
      <c r="C265" s="226"/>
      <c r="D265" s="226"/>
      <c r="E265" s="226"/>
      <c r="F265" s="226"/>
      <c r="G265" s="220" t="str">
        <f t="shared" si="27"/>
        <v>//</v>
      </c>
      <c r="H265" s="242"/>
      <c r="I265" s="242"/>
      <c r="J265" s="225"/>
      <c r="K265" s="226"/>
      <c r="L265" s="225"/>
      <c r="M265" s="226" t="s">
        <v>869</v>
      </c>
      <c r="N265" s="230">
        <v>1</v>
      </c>
      <c r="O265" s="230"/>
      <c r="Q265" s="221">
        <v>10</v>
      </c>
      <c r="R265" s="112">
        <f t="shared" ref="R265:R328" si="29">(((N265)-1)/10)/12</f>
        <v>0</v>
      </c>
      <c r="S265" s="223">
        <v>0</v>
      </c>
      <c r="T265" s="223">
        <f t="shared" si="24"/>
        <v>1</v>
      </c>
      <c r="V265" s="233"/>
      <c r="W265" s="223"/>
      <c r="X265" s="196" t="e">
        <f t="shared" si="28"/>
        <v>#VALUE!</v>
      </c>
    </row>
    <row r="266" spans="1:24" s="221" customFormat="1">
      <c r="A266" s="226" t="s">
        <v>1947</v>
      </c>
      <c r="B266" s="226" t="s">
        <v>1946</v>
      </c>
      <c r="C266" s="226"/>
      <c r="D266" s="226"/>
      <c r="E266" s="226"/>
      <c r="F266" s="226"/>
      <c r="G266" s="220" t="str">
        <f t="shared" si="27"/>
        <v>//</v>
      </c>
      <c r="H266" s="242"/>
      <c r="I266" s="242"/>
      <c r="J266" s="225"/>
      <c r="K266" s="226"/>
      <c r="L266" s="225"/>
      <c r="M266" s="226" t="s">
        <v>869</v>
      </c>
      <c r="N266" s="230">
        <v>1</v>
      </c>
      <c r="O266" s="230"/>
      <c r="Q266" s="221">
        <v>10</v>
      </c>
      <c r="R266" s="112">
        <f t="shared" si="29"/>
        <v>0</v>
      </c>
      <c r="S266" s="223">
        <v>0</v>
      </c>
      <c r="T266" s="223">
        <f t="shared" ref="T266:T329" si="30">N266-S266</f>
        <v>1</v>
      </c>
      <c r="V266" s="233"/>
      <c r="W266" s="223"/>
      <c r="X266" s="196" t="e">
        <f t="shared" si="28"/>
        <v>#VALUE!</v>
      </c>
    </row>
    <row r="267" spans="1:24" s="221" customFormat="1">
      <c r="A267" s="226" t="s">
        <v>1945</v>
      </c>
      <c r="B267" s="226" t="s">
        <v>1942</v>
      </c>
      <c r="C267" s="226"/>
      <c r="D267" s="226"/>
      <c r="E267" s="226"/>
      <c r="F267" s="226"/>
      <c r="G267" s="220" t="str">
        <f t="shared" si="27"/>
        <v>//</v>
      </c>
      <c r="H267" s="242"/>
      <c r="I267" s="242"/>
      <c r="J267" s="225"/>
      <c r="K267" s="226"/>
      <c r="L267" s="226"/>
      <c r="M267" s="226" t="s">
        <v>869</v>
      </c>
      <c r="N267" s="230">
        <v>1</v>
      </c>
      <c r="O267" s="230"/>
      <c r="Q267" s="221">
        <v>10</v>
      </c>
      <c r="R267" s="112">
        <f t="shared" si="29"/>
        <v>0</v>
      </c>
      <c r="S267" s="223">
        <v>0</v>
      </c>
      <c r="T267" s="223">
        <f t="shared" si="30"/>
        <v>1</v>
      </c>
      <c r="V267" s="233"/>
      <c r="W267" s="223"/>
      <c r="X267" s="196" t="e">
        <f t="shared" si="28"/>
        <v>#VALUE!</v>
      </c>
    </row>
    <row r="268" spans="1:24" s="221" customFormat="1">
      <c r="A268" s="226" t="s">
        <v>1944</v>
      </c>
      <c r="B268" s="226" t="s">
        <v>1942</v>
      </c>
      <c r="C268" s="226"/>
      <c r="D268" s="226"/>
      <c r="E268" s="226"/>
      <c r="F268" s="226"/>
      <c r="G268" s="220" t="str">
        <f t="shared" si="27"/>
        <v>//</v>
      </c>
      <c r="H268" s="242"/>
      <c r="I268" s="242"/>
      <c r="J268" s="225"/>
      <c r="K268" s="226"/>
      <c r="L268" s="226"/>
      <c r="M268" s="226" t="s">
        <v>869</v>
      </c>
      <c r="N268" s="230">
        <v>1</v>
      </c>
      <c r="O268" s="230"/>
      <c r="Q268" s="221">
        <v>10</v>
      </c>
      <c r="R268" s="112">
        <f t="shared" si="29"/>
        <v>0</v>
      </c>
      <c r="S268" s="223">
        <v>0</v>
      </c>
      <c r="T268" s="223">
        <f t="shared" si="30"/>
        <v>1</v>
      </c>
      <c r="V268" s="233"/>
      <c r="W268" s="223"/>
      <c r="X268" s="196" t="e">
        <f t="shared" si="28"/>
        <v>#VALUE!</v>
      </c>
    </row>
    <row r="269" spans="1:24" s="221" customFormat="1">
      <c r="A269" s="226" t="s">
        <v>1943</v>
      </c>
      <c r="B269" s="226" t="s">
        <v>1942</v>
      </c>
      <c r="C269" s="226"/>
      <c r="D269" s="226"/>
      <c r="E269" s="226"/>
      <c r="F269" s="226"/>
      <c r="G269" s="220" t="str">
        <f t="shared" si="27"/>
        <v>//</v>
      </c>
      <c r="H269" s="242"/>
      <c r="I269" s="242"/>
      <c r="J269" s="225"/>
      <c r="K269" s="226"/>
      <c r="L269" s="226"/>
      <c r="M269" s="226" t="s">
        <v>869</v>
      </c>
      <c r="N269" s="230">
        <v>1</v>
      </c>
      <c r="O269" s="230"/>
      <c r="Q269" s="221">
        <v>10</v>
      </c>
      <c r="R269" s="112">
        <f t="shared" si="29"/>
        <v>0</v>
      </c>
      <c r="S269" s="223">
        <v>0</v>
      </c>
      <c r="T269" s="223">
        <f t="shared" si="30"/>
        <v>1</v>
      </c>
      <c r="V269" s="233"/>
      <c r="W269" s="223"/>
      <c r="X269" s="196" t="e">
        <f t="shared" si="28"/>
        <v>#VALUE!</v>
      </c>
    </row>
    <row r="270" spans="1:24" s="221" customFormat="1">
      <c r="A270" s="226" t="s">
        <v>1941</v>
      </c>
      <c r="B270" s="226" t="s">
        <v>1938</v>
      </c>
      <c r="C270" s="226"/>
      <c r="D270" s="226"/>
      <c r="E270" s="226"/>
      <c r="F270" s="226" t="s">
        <v>1889</v>
      </c>
      <c r="G270" s="220" t="str">
        <f t="shared" si="27"/>
        <v>2/6/2004</v>
      </c>
      <c r="H270" s="242">
        <v>2</v>
      </c>
      <c r="I270" s="242">
        <v>6</v>
      </c>
      <c r="J270" s="225">
        <v>2004</v>
      </c>
      <c r="K270" s="226" t="s">
        <v>1510</v>
      </c>
      <c r="L270" s="226">
        <v>841</v>
      </c>
      <c r="M270" s="226" t="s">
        <v>869</v>
      </c>
      <c r="N270" s="230">
        <v>900</v>
      </c>
      <c r="O270" s="230" t="s">
        <v>1940</v>
      </c>
      <c r="Q270" s="221">
        <v>10</v>
      </c>
      <c r="R270" s="112">
        <f t="shared" si="29"/>
        <v>7.4916666666666671</v>
      </c>
      <c r="S270" s="223">
        <f t="shared" ref="S270:S280" si="31">X270*R270</f>
        <v>884.01666666666677</v>
      </c>
      <c r="T270" s="223">
        <f t="shared" si="30"/>
        <v>15.983333333333235</v>
      </c>
      <c r="U270" s="221">
        <v>3169</v>
      </c>
      <c r="V270" s="233"/>
      <c r="W270" s="223"/>
      <c r="X270" s="196">
        <f t="shared" si="28"/>
        <v>118</v>
      </c>
    </row>
    <row r="271" spans="1:24" s="221" customFormat="1">
      <c r="A271" s="226" t="s">
        <v>1939</v>
      </c>
      <c r="B271" s="226" t="s">
        <v>1938</v>
      </c>
      <c r="C271" s="226"/>
      <c r="D271" s="226"/>
      <c r="E271" s="226"/>
      <c r="F271" s="226" t="s">
        <v>1889</v>
      </c>
      <c r="G271" s="220" t="str">
        <f t="shared" si="27"/>
        <v>2/6/2004</v>
      </c>
      <c r="H271" s="242">
        <v>2</v>
      </c>
      <c r="I271" s="242">
        <v>6</v>
      </c>
      <c r="J271" s="225">
        <v>2004</v>
      </c>
      <c r="K271" s="226" t="s">
        <v>1510</v>
      </c>
      <c r="L271" s="226">
        <v>841</v>
      </c>
      <c r="M271" s="226" t="s">
        <v>869</v>
      </c>
      <c r="N271" s="230">
        <v>900</v>
      </c>
      <c r="O271" s="230" t="s">
        <v>1854</v>
      </c>
      <c r="Q271" s="221">
        <v>10</v>
      </c>
      <c r="R271" s="112">
        <f t="shared" si="29"/>
        <v>7.4916666666666671</v>
      </c>
      <c r="S271" s="223">
        <f t="shared" si="31"/>
        <v>884.01666666666677</v>
      </c>
      <c r="T271" s="223">
        <f t="shared" si="30"/>
        <v>15.983333333333235</v>
      </c>
      <c r="U271" s="221">
        <v>3169</v>
      </c>
      <c r="V271" s="233"/>
      <c r="W271" s="223"/>
      <c r="X271" s="196">
        <f t="shared" si="28"/>
        <v>118</v>
      </c>
    </row>
    <row r="272" spans="1:24" s="221" customFormat="1" ht="31.5">
      <c r="A272" s="226" t="s">
        <v>1937</v>
      </c>
      <c r="B272" s="226" t="s">
        <v>1936</v>
      </c>
      <c r="C272" s="226"/>
      <c r="D272" s="226"/>
      <c r="E272" s="248"/>
      <c r="F272" s="248" t="s">
        <v>1889</v>
      </c>
      <c r="G272" s="220" t="str">
        <f t="shared" si="27"/>
        <v>2/6/2004</v>
      </c>
      <c r="H272" s="251">
        <v>2</v>
      </c>
      <c r="I272" s="251">
        <v>6</v>
      </c>
      <c r="J272" s="250">
        <v>2004</v>
      </c>
      <c r="K272" s="248" t="s">
        <v>1510</v>
      </c>
      <c r="L272" s="250">
        <v>841</v>
      </c>
      <c r="M272" s="226" t="s">
        <v>869</v>
      </c>
      <c r="N272" s="230">
        <v>900</v>
      </c>
      <c r="O272" s="199" t="s">
        <v>1935</v>
      </c>
      <c r="Q272" s="221">
        <v>10</v>
      </c>
      <c r="R272" s="112">
        <f t="shared" si="29"/>
        <v>7.4916666666666671</v>
      </c>
      <c r="S272" s="223">
        <f t="shared" si="31"/>
        <v>884.01666666666677</v>
      </c>
      <c r="T272" s="223">
        <f t="shared" si="30"/>
        <v>15.983333333333235</v>
      </c>
      <c r="U272" s="221">
        <v>3169</v>
      </c>
      <c r="V272" s="233"/>
      <c r="W272" s="223"/>
      <c r="X272" s="196">
        <f t="shared" si="28"/>
        <v>118</v>
      </c>
    </row>
    <row r="273" spans="1:24" s="221" customFormat="1">
      <c r="A273" s="226" t="s">
        <v>1934</v>
      </c>
      <c r="B273" s="226" t="s">
        <v>1933</v>
      </c>
      <c r="C273" s="226"/>
      <c r="D273" s="226"/>
      <c r="E273" s="226"/>
      <c r="F273" s="226" t="s">
        <v>1889</v>
      </c>
      <c r="G273" s="220" t="str">
        <f t="shared" si="27"/>
        <v>2/6/2004</v>
      </c>
      <c r="H273" s="242">
        <v>2</v>
      </c>
      <c r="I273" s="242">
        <v>6</v>
      </c>
      <c r="J273" s="225">
        <v>2004</v>
      </c>
      <c r="K273" s="226" t="s">
        <v>1510</v>
      </c>
      <c r="L273" s="226">
        <v>841</v>
      </c>
      <c r="M273" s="226" t="s">
        <v>869</v>
      </c>
      <c r="N273" s="230">
        <v>900</v>
      </c>
      <c r="O273" s="230" t="s">
        <v>1930</v>
      </c>
      <c r="Q273" s="221">
        <v>10</v>
      </c>
      <c r="R273" s="112">
        <f t="shared" si="29"/>
        <v>7.4916666666666671</v>
      </c>
      <c r="S273" s="223">
        <f t="shared" si="31"/>
        <v>884.01666666666677</v>
      </c>
      <c r="T273" s="223">
        <f t="shared" si="30"/>
        <v>15.983333333333235</v>
      </c>
      <c r="U273" s="221">
        <v>3169</v>
      </c>
      <c r="V273" s="233"/>
      <c r="W273" s="223"/>
      <c r="X273" s="196">
        <f t="shared" si="28"/>
        <v>118</v>
      </c>
    </row>
    <row r="274" spans="1:24" s="221" customFormat="1">
      <c r="A274" s="226" t="s">
        <v>1932</v>
      </c>
      <c r="B274" s="226" t="s">
        <v>1931</v>
      </c>
      <c r="C274" s="226"/>
      <c r="D274" s="226"/>
      <c r="E274" s="226"/>
      <c r="F274" s="226" t="s">
        <v>1889</v>
      </c>
      <c r="G274" s="220" t="str">
        <f t="shared" si="27"/>
        <v>2/6/2004</v>
      </c>
      <c r="H274" s="242">
        <v>2</v>
      </c>
      <c r="I274" s="242">
        <v>6</v>
      </c>
      <c r="J274" s="225">
        <v>2004</v>
      </c>
      <c r="K274" s="226" t="s">
        <v>1510</v>
      </c>
      <c r="L274" s="226">
        <v>841</v>
      </c>
      <c r="M274" s="226" t="s">
        <v>869</v>
      </c>
      <c r="N274" s="230">
        <v>900</v>
      </c>
      <c r="O274" s="230" t="s">
        <v>1930</v>
      </c>
      <c r="Q274" s="221">
        <v>10</v>
      </c>
      <c r="R274" s="112">
        <f t="shared" si="29"/>
        <v>7.4916666666666671</v>
      </c>
      <c r="S274" s="223">
        <f t="shared" si="31"/>
        <v>884.01666666666677</v>
      </c>
      <c r="T274" s="223">
        <f t="shared" si="30"/>
        <v>15.983333333333235</v>
      </c>
      <c r="U274" s="221">
        <v>3169</v>
      </c>
      <c r="V274" s="233"/>
      <c r="W274" s="223"/>
      <c r="X274" s="196">
        <f t="shared" si="28"/>
        <v>118</v>
      </c>
    </row>
    <row r="275" spans="1:24" s="221" customFormat="1">
      <c r="A275" s="226" t="s">
        <v>1929</v>
      </c>
      <c r="B275" s="226" t="str">
        <f>+B274</f>
        <v>Silla estacionaria en hierro, tapizado color negro</v>
      </c>
      <c r="C275" s="226"/>
      <c r="D275" s="226"/>
      <c r="E275" s="226"/>
      <c r="F275" s="226" t="s">
        <v>1889</v>
      </c>
      <c r="G275" s="220" t="str">
        <f t="shared" si="27"/>
        <v>2/6/2004</v>
      </c>
      <c r="H275" s="242">
        <v>2</v>
      </c>
      <c r="I275" s="242">
        <v>6</v>
      </c>
      <c r="J275" s="225">
        <v>2004</v>
      </c>
      <c r="K275" s="226" t="s">
        <v>1510</v>
      </c>
      <c r="L275" s="226">
        <v>841</v>
      </c>
      <c r="M275" s="226" t="s">
        <v>869</v>
      </c>
      <c r="N275" s="230">
        <v>900</v>
      </c>
      <c r="O275" s="230"/>
      <c r="Q275" s="221">
        <v>10</v>
      </c>
      <c r="R275" s="112">
        <f t="shared" si="29"/>
        <v>7.4916666666666671</v>
      </c>
      <c r="S275" s="223">
        <f t="shared" si="31"/>
        <v>884.01666666666677</v>
      </c>
      <c r="T275" s="223">
        <f t="shared" si="30"/>
        <v>15.983333333333235</v>
      </c>
      <c r="U275" s="221">
        <v>3169</v>
      </c>
      <c r="V275" s="233"/>
      <c r="W275" s="223"/>
      <c r="X275" s="196">
        <f t="shared" si="28"/>
        <v>118</v>
      </c>
    </row>
    <row r="276" spans="1:24" s="221" customFormat="1">
      <c r="A276" s="483" t="s">
        <v>1928</v>
      </c>
      <c r="B276" s="483" t="str">
        <f>+B275</f>
        <v>Silla estacionaria en hierro, tapizado color negro</v>
      </c>
      <c r="C276" s="483"/>
      <c r="D276" s="483"/>
      <c r="E276" s="483"/>
      <c r="F276" s="483" t="s">
        <v>1889</v>
      </c>
      <c r="G276" s="484" t="str">
        <f t="shared" si="27"/>
        <v>2/6/2004</v>
      </c>
      <c r="H276" s="485">
        <v>2</v>
      </c>
      <c r="I276" s="485">
        <v>6</v>
      </c>
      <c r="J276" s="486">
        <v>2004</v>
      </c>
      <c r="K276" s="483" t="s">
        <v>1510</v>
      </c>
      <c r="L276" s="483">
        <v>841</v>
      </c>
      <c r="M276" s="483" t="s">
        <v>869</v>
      </c>
      <c r="N276" s="487">
        <v>900</v>
      </c>
      <c r="O276" s="230"/>
      <c r="Q276" s="488">
        <v>10</v>
      </c>
      <c r="R276" s="489">
        <f t="shared" si="29"/>
        <v>7.4916666666666671</v>
      </c>
      <c r="S276" s="490">
        <f t="shared" si="31"/>
        <v>884.01666666666677</v>
      </c>
      <c r="T276" s="490">
        <f t="shared" si="30"/>
        <v>15.983333333333235</v>
      </c>
      <c r="U276" s="488">
        <v>3169</v>
      </c>
      <c r="V276" s="491"/>
      <c r="W276" s="490"/>
      <c r="X276" s="492">
        <f t="shared" si="28"/>
        <v>118</v>
      </c>
    </row>
    <row r="277" spans="1:24" s="221" customFormat="1">
      <c r="A277" s="226" t="s">
        <v>1927</v>
      </c>
      <c r="B277" s="226" t="str">
        <f>+B276</f>
        <v>Silla estacionaria en hierro, tapizado color negro</v>
      </c>
      <c r="C277" s="226"/>
      <c r="D277" s="226"/>
      <c r="E277" s="226"/>
      <c r="F277" s="226" t="s">
        <v>1889</v>
      </c>
      <c r="G277" s="220" t="str">
        <f t="shared" si="27"/>
        <v>2/6/2004</v>
      </c>
      <c r="H277" s="242">
        <v>2</v>
      </c>
      <c r="I277" s="242">
        <v>6</v>
      </c>
      <c r="J277" s="225">
        <v>2004</v>
      </c>
      <c r="K277" s="226" t="s">
        <v>1510</v>
      </c>
      <c r="L277" s="226">
        <v>841</v>
      </c>
      <c r="M277" s="226" t="s">
        <v>869</v>
      </c>
      <c r="N277" s="230">
        <v>900</v>
      </c>
      <c r="O277" s="230"/>
      <c r="Q277" s="221">
        <v>10</v>
      </c>
      <c r="R277" s="112">
        <f t="shared" si="29"/>
        <v>7.4916666666666671</v>
      </c>
      <c r="S277" s="223">
        <f t="shared" si="31"/>
        <v>884.01666666666677</v>
      </c>
      <c r="T277" s="223">
        <f t="shared" si="30"/>
        <v>15.983333333333235</v>
      </c>
      <c r="U277" s="221">
        <v>3169</v>
      </c>
      <c r="V277" s="233"/>
      <c r="W277" s="223"/>
      <c r="X277" s="196">
        <f t="shared" si="28"/>
        <v>118</v>
      </c>
    </row>
    <row r="278" spans="1:24" s="221" customFormat="1">
      <c r="A278" s="226" t="s">
        <v>1926</v>
      </c>
      <c r="B278" s="226" t="str">
        <f>+B277</f>
        <v>Silla estacionaria en hierro, tapizado color negro</v>
      </c>
      <c r="C278" s="226"/>
      <c r="D278" s="226"/>
      <c r="E278" s="226"/>
      <c r="F278" s="226" t="s">
        <v>1889</v>
      </c>
      <c r="G278" s="220" t="str">
        <f t="shared" si="27"/>
        <v>2/6/2004</v>
      </c>
      <c r="H278" s="242">
        <v>2</v>
      </c>
      <c r="I278" s="242">
        <v>6</v>
      </c>
      <c r="J278" s="225">
        <v>2004</v>
      </c>
      <c r="K278" s="226" t="s">
        <v>1510</v>
      </c>
      <c r="L278" s="226">
        <v>841</v>
      </c>
      <c r="M278" s="226" t="s">
        <v>869</v>
      </c>
      <c r="N278" s="230">
        <v>900</v>
      </c>
      <c r="O278" s="230" t="s">
        <v>593</v>
      </c>
      <c r="Q278" s="221">
        <v>10</v>
      </c>
      <c r="R278" s="112">
        <f t="shared" si="29"/>
        <v>7.4916666666666671</v>
      </c>
      <c r="S278" s="223">
        <f t="shared" si="31"/>
        <v>884.01666666666677</v>
      </c>
      <c r="T278" s="223">
        <f t="shared" si="30"/>
        <v>15.983333333333235</v>
      </c>
      <c r="U278" s="221">
        <v>3169</v>
      </c>
      <c r="V278" s="233"/>
      <c r="W278" s="223"/>
      <c r="X278" s="196">
        <f t="shared" si="28"/>
        <v>118</v>
      </c>
    </row>
    <row r="279" spans="1:24" s="221" customFormat="1">
      <c r="A279" s="226" t="s">
        <v>1925</v>
      </c>
      <c r="B279" s="226" t="s">
        <v>1923</v>
      </c>
      <c r="C279" s="226"/>
      <c r="D279" s="226"/>
      <c r="E279" s="226"/>
      <c r="F279" s="226" t="s">
        <v>1889</v>
      </c>
      <c r="G279" s="220" t="str">
        <f t="shared" si="27"/>
        <v>2/6/2004</v>
      </c>
      <c r="H279" s="242">
        <v>2</v>
      </c>
      <c r="I279" s="242">
        <v>6</v>
      </c>
      <c r="J279" s="225">
        <v>2004</v>
      </c>
      <c r="K279" s="226" t="s">
        <v>1510</v>
      </c>
      <c r="L279" s="226">
        <v>841</v>
      </c>
      <c r="M279" s="226" t="s">
        <v>869</v>
      </c>
      <c r="N279" s="230">
        <v>900</v>
      </c>
      <c r="O279" s="230"/>
      <c r="Q279" s="221">
        <v>10</v>
      </c>
      <c r="R279" s="112">
        <f t="shared" si="29"/>
        <v>7.4916666666666671</v>
      </c>
      <c r="S279" s="223">
        <f t="shared" si="31"/>
        <v>884.01666666666677</v>
      </c>
      <c r="T279" s="223">
        <f t="shared" si="30"/>
        <v>15.983333333333235</v>
      </c>
      <c r="U279" s="221">
        <v>3169</v>
      </c>
      <c r="V279" s="233"/>
      <c r="W279" s="223"/>
      <c r="X279" s="196">
        <f t="shared" si="28"/>
        <v>118</v>
      </c>
    </row>
    <row r="280" spans="1:24" s="221" customFormat="1">
      <c r="A280" s="226" t="s">
        <v>1924</v>
      </c>
      <c r="B280" s="226" t="s">
        <v>1923</v>
      </c>
      <c r="C280" s="226"/>
      <c r="D280" s="226"/>
      <c r="E280" s="226"/>
      <c r="F280" s="226" t="s">
        <v>1889</v>
      </c>
      <c r="G280" s="220" t="str">
        <f t="shared" si="27"/>
        <v>2/6/2004</v>
      </c>
      <c r="H280" s="242">
        <v>2</v>
      </c>
      <c r="I280" s="242">
        <v>6</v>
      </c>
      <c r="J280" s="225">
        <v>2004</v>
      </c>
      <c r="K280" s="226" t="s">
        <v>1510</v>
      </c>
      <c r="L280" s="226">
        <v>841</v>
      </c>
      <c r="M280" s="226" t="s">
        <v>869</v>
      </c>
      <c r="N280" s="230">
        <v>900</v>
      </c>
      <c r="O280" s="230"/>
      <c r="Q280" s="221">
        <v>10</v>
      </c>
      <c r="R280" s="112">
        <f t="shared" si="29"/>
        <v>7.4916666666666671</v>
      </c>
      <c r="S280" s="223">
        <f t="shared" si="31"/>
        <v>884.01666666666677</v>
      </c>
      <c r="T280" s="223">
        <f t="shared" si="30"/>
        <v>15.983333333333235</v>
      </c>
      <c r="U280" s="221">
        <v>3169</v>
      </c>
      <c r="V280" s="233"/>
      <c r="W280" s="223"/>
      <c r="X280" s="196">
        <f t="shared" si="28"/>
        <v>118</v>
      </c>
    </row>
    <row r="281" spans="1:24" s="221" customFormat="1">
      <c r="A281" s="483" t="s">
        <v>1922</v>
      </c>
      <c r="B281" s="483" t="s">
        <v>2790</v>
      </c>
      <c r="C281" s="483"/>
      <c r="D281" s="483"/>
      <c r="E281" s="483"/>
      <c r="F281" s="483"/>
      <c r="G281" s="484" t="str">
        <f t="shared" si="27"/>
        <v>//</v>
      </c>
      <c r="H281" s="485"/>
      <c r="I281" s="485"/>
      <c r="J281" s="486"/>
      <c r="K281" s="483"/>
      <c r="L281" s="486"/>
      <c r="M281" s="483" t="s">
        <v>869</v>
      </c>
      <c r="N281" s="487">
        <v>1</v>
      </c>
      <c r="O281" s="230"/>
      <c r="Q281" s="488">
        <v>10</v>
      </c>
      <c r="R281" s="489">
        <f t="shared" si="29"/>
        <v>0</v>
      </c>
      <c r="S281" s="490">
        <v>0</v>
      </c>
      <c r="T281" s="490">
        <f t="shared" si="30"/>
        <v>1</v>
      </c>
      <c r="U281" s="488"/>
      <c r="V281" s="233"/>
      <c r="W281" s="223"/>
      <c r="X281" s="196" t="e">
        <f t="shared" si="28"/>
        <v>#VALUE!</v>
      </c>
    </row>
    <row r="282" spans="1:24" s="221" customFormat="1">
      <c r="A282" s="226" t="s">
        <v>1921</v>
      </c>
      <c r="B282" s="226" t="s">
        <v>1920</v>
      </c>
      <c r="C282" s="226"/>
      <c r="D282" s="226"/>
      <c r="E282" s="226"/>
      <c r="F282" s="226"/>
      <c r="G282" s="220" t="str">
        <f t="shared" si="27"/>
        <v>//</v>
      </c>
      <c r="H282" s="242"/>
      <c r="I282" s="242"/>
      <c r="J282" s="225"/>
      <c r="K282" s="226"/>
      <c r="L282" s="225"/>
      <c r="M282" s="226" t="s">
        <v>869</v>
      </c>
      <c r="N282" s="230">
        <v>1</v>
      </c>
      <c r="O282" s="230"/>
      <c r="Q282" s="221">
        <v>10</v>
      </c>
      <c r="R282" s="112">
        <f t="shared" si="29"/>
        <v>0</v>
      </c>
      <c r="S282" s="223">
        <v>0</v>
      </c>
      <c r="T282" s="223">
        <f t="shared" si="30"/>
        <v>1</v>
      </c>
      <c r="V282" s="233"/>
      <c r="W282" s="223"/>
      <c r="X282" s="196" t="e">
        <f t="shared" si="28"/>
        <v>#VALUE!</v>
      </c>
    </row>
    <row r="283" spans="1:24" s="221" customFormat="1">
      <c r="A283" s="483" t="s">
        <v>1919</v>
      </c>
      <c r="B283" s="483" t="s">
        <v>2791</v>
      </c>
      <c r="C283" s="483"/>
      <c r="D283" s="483"/>
      <c r="E283" s="483"/>
      <c r="F283" s="483"/>
      <c r="G283" s="484" t="str">
        <f t="shared" si="27"/>
        <v>//</v>
      </c>
      <c r="H283" s="485"/>
      <c r="I283" s="485"/>
      <c r="J283" s="486"/>
      <c r="K283" s="483"/>
      <c r="L283" s="483"/>
      <c r="M283" s="483" t="s">
        <v>869</v>
      </c>
      <c r="N283" s="487">
        <v>1</v>
      </c>
      <c r="O283" s="230" t="s">
        <v>1918</v>
      </c>
      <c r="Q283" s="488">
        <v>10</v>
      </c>
      <c r="R283" s="489">
        <f t="shared" si="29"/>
        <v>0</v>
      </c>
      <c r="S283" s="490">
        <v>0</v>
      </c>
      <c r="T283" s="490">
        <f t="shared" si="30"/>
        <v>1</v>
      </c>
      <c r="U283" s="488"/>
      <c r="V283" s="233"/>
      <c r="W283" s="223"/>
      <c r="X283" s="196" t="e">
        <f t="shared" si="28"/>
        <v>#VALUE!</v>
      </c>
    </row>
    <row r="284" spans="1:24" s="221" customFormat="1">
      <c r="A284" s="226" t="s">
        <v>1917</v>
      </c>
      <c r="B284" s="226" t="s">
        <v>1916</v>
      </c>
      <c r="C284" s="226"/>
      <c r="D284" s="226"/>
      <c r="E284" s="226"/>
      <c r="F284" s="226"/>
      <c r="G284" s="220" t="str">
        <f t="shared" si="27"/>
        <v>//</v>
      </c>
      <c r="H284" s="242"/>
      <c r="I284" s="242"/>
      <c r="J284" s="225"/>
      <c r="K284" s="226"/>
      <c r="L284" s="225"/>
      <c r="M284" s="226" t="s">
        <v>869</v>
      </c>
      <c r="N284" s="230">
        <v>1</v>
      </c>
      <c r="O284" s="230"/>
      <c r="Q284" s="221">
        <v>10</v>
      </c>
      <c r="R284" s="112">
        <f t="shared" si="29"/>
        <v>0</v>
      </c>
      <c r="S284" s="223">
        <v>0</v>
      </c>
      <c r="T284" s="223">
        <f t="shared" si="30"/>
        <v>1</v>
      </c>
      <c r="V284" s="233"/>
      <c r="W284" s="223"/>
      <c r="X284" s="196" t="e">
        <f t="shared" si="28"/>
        <v>#VALUE!</v>
      </c>
    </row>
    <row r="285" spans="1:24" s="221" customFormat="1">
      <c r="A285" s="226" t="s">
        <v>1915</v>
      </c>
      <c r="B285" s="206" t="s">
        <v>1907</v>
      </c>
      <c r="C285" s="226"/>
      <c r="D285" s="226"/>
      <c r="E285" s="226"/>
      <c r="F285" s="226"/>
      <c r="G285" s="220" t="str">
        <f t="shared" si="27"/>
        <v>//</v>
      </c>
      <c r="H285" s="242"/>
      <c r="I285" s="242"/>
      <c r="J285" s="225"/>
      <c r="K285" s="226"/>
      <c r="L285" s="226"/>
      <c r="M285" s="226" t="s">
        <v>869</v>
      </c>
      <c r="N285" s="230">
        <v>1</v>
      </c>
      <c r="O285" s="230" t="s">
        <v>1903</v>
      </c>
      <c r="Q285" s="221">
        <v>10</v>
      </c>
      <c r="R285" s="112">
        <f t="shared" si="29"/>
        <v>0</v>
      </c>
      <c r="S285" s="223">
        <v>0</v>
      </c>
      <c r="T285" s="223">
        <f t="shared" si="30"/>
        <v>1</v>
      </c>
      <c r="V285" s="233"/>
      <c r="W285" s="223"/>
      <c r="X285" s="196" t="e">
        <f t="shared" si="28"/>
        <v>#VALUE!</v>
      </c>
    </row>
    <row r="286" spans="1:24" s="221" customFormat="1">
      <c r="A286" s="226" t="s">
        <v>1914</v>
      </c>
      <c r="B286" s="206" t="s">
        <v>1907</v>
      </c>
      <c r="C286" s="226"/>
      <c r="D286" s="226"/>
      <c r="E286" s="226"/>
      <c r="F286" s="226"/>
      <c r="G286" s="220" t="str">
        <f t="shared" si="27"/>
        <v>//</v>
      </c>
      <c r="H286" s="242"/>
      <c r="I286" s="242"/>
      <c r="J286" s="225"/>
      <c r="K286" s="226"/>
      <c r="L286" s="226"/>
      <c r="M286" s="226" t="s">
        <v>869</v>
      </c>
      <c r="N286" s="230">
        <v>1</v>
      </c>
      <c r="O286" s="230"/>
      <c r="Q286" s="221">
        <v>10</v>
      </c>
      <c r="R286" s="112">
        <f t="shared" si="29"/>
        <v>0</v>
      </c>
      <c r="S286" s="223">
        <v>0</v>
      </c>
      <c r="T286" s="223">
        <f t="shared" si="30"/>
        <v>1</v>
      </c>
      <c r="V286" s="233"/>
      <c r="W286" s="223"/>
      <c r="X286" s="196" t="e">
        <f t="shared" si="28"/>
        <v>#VALUE!</v>
      </c>
    </row>
    <row r="287" spans="1:24" s="221" customFormat="1">
      <c r="A287" s="226" t="s">
        <v>1913</v>
      </c>
      <c r="B287" s="206" t="s">
        <v>1907</v>
      </c>
      <c r="C287" s="226"/>
      <c r="D287" s="226"/>
      <c r="E287" s="226"/>
      <c r="F287" s="226"/>
      <c r="G287" s="220" t="str">
        <f t="shared" si="27"/>
        <v>//</v>
      </c>
      <c r="H287" s="242"/>
      <c r="I287" s="242"/>
      <c r="J287" s="225"/>
      <c r="K287" s="226"/>
      <c r="L287" s="226"/>
      <c r="M287" s="226" t="s">
        <v>869</v>
      </c>
      <c r="N287" s="230">
        <v>1</v>
      </c>
      <c r="O287" s="230" t="s">
        <v>1903</v>
      </c>
      <c r="Q287" s="221">
        <v>10</v>
      </c>
      <c r="R287" s="112">
        <f t="shared" si="29"/>
        <v>0</v>
      </c>
      <c r="S287" s="223">
        <v>0</v>
      </c>
      <c r="T287" s="223">
        <f t="shared" si="30"/>
        <v>1</v>
      </c>
      <c r="V287" s="233"/>
      <c r="W287" s="223"/>
      <c r="X287" s="196" t="e">
        <f t="shared" si="28"/>
        <v>#VALUE!</v>
      </c>
    </row>
    <row r="288" spans="1:24" s="221" customFormat="1">
      <c r="A288" s="226" t="s">
        <v>1912</v>
      </c>
      <c r="B288" s="206" t="s">
        <v>1907</v>
      </c>
      <c r="C288" s="226"/>
      <c r="D288" s="226"/>
      <c r="E288" s="226"/>
      <c r="F288" s="226"/>
      <c r="G288" s="220" t="str">
        <f t="shared" si="27"/>
        <v>//</v>
      </c>
      <c r="H288" s="242"/>
      <c r="I288" s="242"/>
      <c r="J288" s="225"/>
      <c r="K288" s="226"/>
      <c r="L288" s="226"/>
      <c r="M288" s="226" t="s">
        <v>869</v>
      </c>
      <c r="N288" s="230">
        <v>1</v>
      </c>
      <c r="O288" s="230" t="s">
        <v>1903</v>
      </c>
      <c r="Q288" s="221">
        <v>10</v>
      </c>
      <c r="R288" s="112">
        <f t="shared" si="29"/>
        <v>0</v>
      </c>
      <c r="S288" s="223">
        <v>0</v>
      </c>
      <c r="T288" s="223">
        <f t="shared" si="30"/>
        <v>1</v>
      </c>
      <c r="V288" s="233"/>
      <c r="W288" s="223"/>
      <c r="X288" s="196" t="e">
        <f t="shared" si="28"/>
        <v>#VALUE!</v>
      </c>
    </row>
    <row r="289" spans="1:24" s="221" customFormat="1">
      <c r="A289" s="226" t="s">
        <v>1911</v>
      </c>
      <c r="B289" s="206" t="s">
        <v>1907</v>
      </c>
      <c r="C289" s="226"/>
      <c r="D289" s="226"/>
      <c r="E289" s="226"/>
      <c r="F289" s="226"/>
      <c r="G289" s="220" t="str">
        <f t="shared" si="27"/>
        <v>//</v>
      </c>
      <c r="H289" s="242"/>
      <c r="I289" s="242"/>
      <c r="J289" s="225"/>
      <c r="K289" s="226"/>
      <c r="L289" s="226"/>
      <c r="M289" s="226" t="s">
        <v>869</v>
      </c>
      <c r="N289" s="230">
        <v>1</v>
      </c>
      <c r="O289" s="230" t="s">
        <v>1903</v>
      </c>
      <c r="Q289" s="221">
        <v>10</v>
      </c>
      <c r="R289" s="112">
        <f t="shared" si="29"/>
        <v>0</v>
      </c>
      <c r="S289" s="223">
        <v>0</v>
      </c>
      <c r="T289" s="223">
        <f t="shared" si="30"/>
        <v>1</v>
      </c>
      <c r="V289" s="233"/>
      <c r="W289" s="223"/>
      <c r="X289" s="196" t="e">
        <f t="shared" si="28"/>
        <v>#VALUE!</v>
      </c>
    </row>
    <row r="290" spans="1:24" s="221" customFormat="1">
      <c r="A290" s="226" t="s">
        <v>1910</v>
      </c>
      <c r="B290" s="206" t="s">
        <v>1907</v>
      </c>
      <c r="C290" s="226"/>
      <c r="D290" s="226"/>
      <c r="E290" s="226"/>
      <c r="F290" s="226"/>
      <c r="G290" s="220" t="str">
        <f t="shared" si="27"/>
        <v>//</v>
      </c>
      <c r="H290" s="242"/>
      <c r="I290" s="242"/>
      <c r="J290" s="225"/>
      <c r="K290" s="226"/>
      <c r="L290" s="226"/>
      <c r="M290" s="226" t="s">
        <v>869</v>
      </c>
      <c r="N290" s="230">
        <v>1</v>
      </c>
      <c r="O290" s="230" t="s">
        <v>1903</v>
      </c>
      <c r="Q290" s="221">
        <v>10</v>
      </c>
      <c r="R290" s="112">
        <f t="shared" si="29"/>
        <v>0</v>
      </c>
      <c r="S290" s="223">
        <v>0</v>
      </c>
      <c r="T290" s="223">
        <f t="shared" si="30"/>
        <v>1</v>
      </c>
      <c r="V290" s="233"/>
      <c r="W290" s="223"/>
      <c r="X290" s="196" t="e">
        <f t="shared" si="28"/>
        <v>#VALUE!</v>
      </c>
    </row>
    <row r="291" spans="1:24" s="221" customFormat="1">
      <c r="A291" s="226" t="s">
        <v>1909</v>
      </c>
      <c r="B291" s="206" t="s">
        <v>1907</v>
      </c>
      <c r="C291" s="226"/>
      <c r="D291" s="226"/>
      <c r="E291" s="226"/>
      <c r="F291" s="226"/>
      <c r="G291" s="220" t="str">
        <f t="shared" si="27"/>
        <v>//</v>
      </c>
      <c r="H291" s="242"/>
      <c r="I291" s="242"/>
      <c r="J291" s="225"/>
      <c r="K291" s="226"/>
      <c r="L291" s="226"/>
      <c r="M291" s="226" t="s">
        <v>869</v>
      </c>
      <c r="N291" s="230">
        <v>1</v>
      </c>
      <c r="O291" s="230" t="s">
        <v>1903</v>
      </c>
      <c r="Q291" s="221">
        <v>10</v>
      </c>
      <c r="R291" s="112">
        <f t="shared" si="29"/>
        <v>0</v>
      </c>
      <c r="S291" s="223">
        <v>0</v>
      </c>
      <c r="T291" s="223">
        <f t="shared" si="30"/>
        <v>1</v>
      </c>
      <c r="V291" s="233"/>
      <c r="W291" s="223"/>
      <c r="X291" s="196" t="e">
        <f t="shared" si="28"/>
        <v>#VALUE!</v>
      </c>
    </row>
    <row r="292" spans="1:24" s="221" customFormat="1">
      <c r="A292" s="226" t="s">
        <v>1908</v>
      </c>
      <c r="B292" s="206" t="s">
        <v>1907</v>
      </c>
      <c r="C292" s="226"/>
      <c r="D292" s="226"/>
      <c r="E292" s="226"/>
      <c r="F292" s="226"/>
      <c r="G292" s="220" t="str">
        <f t="shared" si="27"/>
        <v>//</v>
      </c>
      <c r="H292" s="242"/>
      <c r="I292" s="242"/>
      <c r="J292" s="225"/>
      <c r="K292" s="226"/>
      <c r="L292" s="226"/>
      <c r="M292" s="226" t="s">
        <v>869</v>
      </c>
      <c r="N292" s="230">
        <v>1</v>
      </c>
      <c r="O292" s="230" t="s">
        <v>1903</v>
      </c>
      <c r="Q292" s="221">
        <v>10</v>
      </c>
      <c r="R292" s="112">
        <f t="shared" si="29"/>
        <v>0</v>
      </c>
      <c r="S292" s="223">
        <v>0</v>
      </c>
      <c r="T292" s="223">
        <f t="shared" si="30"/>
        <v>1</v>
      </c>
      <c r="V292" s="233"/>
      <c r="W292" s="223"/>
      <c r="X292" s="196" t="e">
        <f t="shared" si="28"/>
        <v>#VALUE!</v>
      </c>
    </row>
    <row r="293" spans="1:24" s="221" customFormat="1">
      <c r="A293" s="226" t="s">
        <v>1906</v>
      </c>
      <c r="B293" s="226" t="s">
        <v>1904</v>
      </c>
      <c r="C293" s="226"/>
      <c r="D293" s="226"/>
      <c r="E293" s="226"/>
      <c r="F293" s="226"/>
      <c r="G293" s="220" t="str">
        <f t="shared" si="27"/>
        <v>//</v>
      </c>
      <c r="H293" s="242"/>
      <c r="I293" s="242"/>
      <c r="J293" s="225"/>
      <c r="K293" s="226"/>
      <c r="L293" s="226"/>
      <c r="M293" s="226" t="s">
        <v>869</v>
      </c>
      <c r="N293" s="230">
        <v>1</v>
      </c>
      <c r="O293" s="230" t="s">
        <v>1903</v>
      </c>
      <c r="Q293" s="221">
        <v>10</v>
      </c>
      <c r="R293" s="112">
        <f t="shared" si="29"/>
        <v>0</v>
      </c>
      <c r="S293" s="223">
        <v>0</v>
      </c>
      <c r="T293" s="223">
        <f t="shared" si="30"/>
        <v>1</v>
      </c>
      <c r="V293" s="233"/>
      <c r="W293" s="223"/>
      <c r="X293" s="196" t="e">
        <f t="shared" si="28"/>
        <v>#VALUE!</v>
      </c>
    </row>
    <row r="294" spans="1:24" s="221" customFormat="1">
      <c r="A294" s="226" t="s">
        <v>1905</v>
      </c>
      <c r="B294" s="226" t="s">
        <v>1904</v>
      </c>
      <c r="C294" s="226"/>
      <c r="D294" s="226"/>
      <c r="E294" s="226"/>
      <c r="F294" s="226"/>
      <c r="G294" s="220" t="str">
        <f t="shared" si="27"/>
        <v>//</v>
      </c>
      <c r="H294" s="242"/>
      <c r="I294" s="242"/>
      <c r="J294" s="225"/>
      <c r="K294" s="226"/>
      <c r="L294" s="226"/>
      <c r="M294" s="226" t="s">
        <v>869</v>
      </c>
      <c r="N294" s="230">
        <v>1</v>
      </c>
      <c r="O294" s="230" t="s">
        <v>1903</v>
      </c>
      <c r="Q294" s="221">
        <v>10</v>
      </c>
      <c r="R294" s="112">
        <f t="shared" si="29"/>
        <v>0</v>
      </c>
      <c r="S294" s="223">
        <v>0</v>
      </c>
      <c r="T294" s="223">
        <f t="shared" si="30"/>
        <v>1</v>
      </c>
      <c r="V294" s="233"/>
      <c r="W294" s="223"/>
      <c r="X294" s="196" t="e">
        <f t="shared" si="28"/>
        <v>#VALUE!</v>
      </c>
    </row>
    <row r="295" spans="1:24" s="221" customFormat="1">
      <c r="A295" s="226" t="s">
        <v>1902</v>
      </c>
      <c r="B295" s="226" t="s">
        <v>1898</v>
      </c>
      <c r="C295" s="226"/>
      <c r="D295" s="226"/>
      <c r="E295" s="226"/>
      <c r="F295" s="226"/>
      <c r="G295" s="220" t="str">
        <f t="shared" si="27"/>
        <v>//</v>
      </c>
      <c r="H295" s="242"/>
      <c r="I295" s="242"/>
      <c r="J295" s="225"/>
      <c r="K295" s="226"/>
      <c r="L295" s="226"/>
      <c r="M295" s="226" t="s">
        <v>869</v>
      </c>
      <c r="N295" s="230">
        <v>1</v>
      </c>
      <c r="O295" s="230"/>
      <c r="Q295" s="221">
        <v>10</v>
      </c>
      <c r="R295" s="112">
        <f t="shared" si="29"/>
        <v>0</v>
      </c>
      <c r="S295" s="223">
        <v>0</v>
      </c>
      <c r="T295" s="223">
        <f t="shared" si="30"/>
        <v>1</v>
      </c>
      <c r="V295" s="233"/>
      <c r="W295" s="223"/>
      <c r="X295" s="196" t="e">
        <f t="shared" si="28"/>
        <v>#VALUE!</v>
      </c>
    </row>
    <row r="296" spans="1:24" s="221" customFormat="1">
      <c r="A296" s="226" t="s">
        <v>1901</v>
      </c>
      <c r="B296" s="226" t="s">
        <v>1898</v>
      </c>
      <c r="C296" s="226"/>
      <c r="D296" s="226"/>
      <c r="E296" s="226"/>
      <c r="F296" s="226"/>
      <c r="G296" s="220" t="str">
        <f t="shared" si="27"/>
        <v>//</v>
      </c>
      <c r="H296" s="242"/>
      <c r="I296" s="242"/>
      <c r="J296" s="225"/>
      <c r="K296" s="226"/>
      <c r="L296" s="226"/>
      <c r="M296" s="226" t="s">
        <v>869</v>
      </c>
      <c r="N296" s="230">
        <v>1</v>
      </c>
      <c r="O296" s="230" t="s">
        <v>1420</v>
      </c>
      <c r="Q296" s="221">
        <v>10</v>
      </c>
      <c r="R296" s="112">
        <f t="shared" si="29"/>
        <v>0</v>
      </c>
      <c r="S296" s="223">
        <v>0</v>
      </c>
      <c r="T296" s="223">
        <f t="shared" si="30"/>
        <v>1</v>
      </c>
      <c r="V296" s="233"/>
      <c r="W296" s="223"/>
      <c r="X296" s="196" t="e">
        <f t="shared" si="28"/>
        <v>#VALUE!</v>
      </c>
    </row>
    <row r="297" spans="1:24" s="221" customFormat="1">
      <c r="A297" s="226" t="s">
        <v>1900</v>
      </c>
      <c r="B297" s="226" t="s">
        <v>2800</v>
      </c>
      <c r="C297" s="226"/>
      <c r="D297" s="226"/>
      <c r="E297" s="226"/>
      <c r="F297" s="226"/>
      <c r="G297" s="220" t="str">
        <f t="shared" si="27"/>
        <v>//</v>
      </c>
      <c r="H297" s="242"/>
      <c r="I297" s="242"/>
      <c r="J297" s="225"/>
      <c r="K297" s="226"/>
      <c r="L297" s="226"/>
      <c r="M297" s="226" t="s">
        <v>869</v>
      </c>
      <c r="N297" s="230">
        <v>1</v>
      </c>
      <c r="O297" s="230"/>
      <c r="Q297" s="221">
        <v>10</v>
      </c>
      <c r="R297" s="112">
        <f t="shared" si="29"/>
        <v>0</v>
      </c>
      <c r="S297" s="223">
        <v>0</v>
      </c>
      <c r="T297" s="223">
        <f t="shared" si="30"/>
        <v>1</v>
      </c>
      <c r="V297" s="233"/>
      <c r="W297" s="223"/>
      <c r="X297" s="196" t="e">
        <f t="shared" si="28"/>
        <v>#VALUE!</v>
      </c>
    </row>
    <row r="298" spans="1:24" s="221" customFormat="1">
      <c r="A298" s="226" t="s">
        <v>1899</v>
      </c>
      <c r="B298" s="226" t="s">
        <v>1898</v>
      </c>
      <c r="C298" s="226"/>
      <c r="D298" s="226"/>
      <c r="E298" s="226"/>
      <c r="F298" s="226"/>
      <c r="G298" s="220" t="str">
        <f t="shared" si="27"/>
        <v>//</v>
      </c>
      <c r="H298" s="242"/>
      <c r="I298" s="242"/>
      <c r="J298" s="225"/>
      <c r="K298" s="226"/>
      <c r="L298" s="226"/>
      <c r="M298" s="226" t="s">
        <v>869</v>
      </c>
      <c r="N298" s="230">
        <v>1</v>
      </c>
      <c r="O298" s="230"/>
      <c r="Q298" s="221">
        <v>10</v>
      </c>
      <c r="R298" s="112">
        <f t="shared" si="29"/>
        <v>0</v>
      </c>
      <c r="S298" s="223">
        <v>0</v>
      </c>
      <c r="T298" s="223">
        <f t="shared" si="30"/>
        <v>1</v>
      </c>
      <c r="V298" s="233"/>
      <c r="W298" s="223"/>
      <c r="X298" s="196" t="e">
        <f t="shared" si="28"/>
        <v>#VALUE!</v>
      </c>
    </row>
    <row r="299" spans="1:24" s="221" customFormat="1">
      <c r="A299" s="226" t="s">
        <v>1897</v>
      </c>
      <c r="B299" s="226" t="s">
        <v>1894</v>
      </c>
      <c r="C299" s="226"/>
      <c r="D299" s="226"/>
      <c r="E299" s="226"/>
      <c r="F299" s="226"/>
      <c r="G299" s="220" t="str">
        <f t="shared" si="27"/>
        <v>//</v>
      </c>
      <c r="H299" s="242"/>
      <c r="I299" s="242"/>
      <c r="J299" s="225"/>
      <c r="K299" s="226"/>
      <c r="L299" s="226"/>
      <c r="M299" s="226" t="s">
        <v>869</v>
      </c>
      <c r="N299" s="230">
        <v>1</v>
      </c>
      <c r="O299" s="230" t="s">
        <v>1420</v>
      </c>
      <c r="Q299" s="221">
        <v>10</v>
      </c>
      <c r="R299" s="112">
        <f t="shared" si="29"/>
        <v>0</v>
      </c>
      <c r="S299" s="223">
        <v>0</v>
      </c>
      <c r="T299" s="223">
        <f t="shared" si="30"/>
        <v>1</v>
      </c>
      <c r="V299" s="233"/>
      <c r="W299" s="223"/>
      <c r="X299" s="196" t="e">
        <f t="shared" si="28"/>
        <v>#VALUE!</v>
      </c>
    </row>
    <row r="300" spans="1:24" s="221" customFormat="1">
      <c r="A300" s="226" t="s">
        <v>1896</v>
      </c>
      <c r="B300" s="226" t="s">
        <v>1894</v>
      </c>
      <c r="C300" s="226"/>
      <c r="D300" s="226"/>
      <c r="E300" s="226"/>
      <c r="F300" s="226"/>
      <c r="G300" s="220" t="str">
        <f t="shared" si="27"/>
        <v>//</v>
      </c>
      <c r="H300" s="242"/>
      <c r="I300" s="242"/>
      <c r="J300" s="225"/>
      <c r="K300" s="226"/>
      <c r="L300" s="226"/>
      <c r="M300" s="226" t="s">
        <v>869</v>
      </c>
      <c r="N300" s="230">
        <v>1</v>
      </c>
      <c r="O300" s="230"/>
      <c r="Q300" s="221">
        <v>10</v>
      </c>
      <c r="R300" s="112">
        <f t="shared" si="29"/>
        <v>0</v>
      </c>
      <c r="S300" s="223">
        <v>0</v>
      </c>
      <c r="T300" s="223">
        <f t="shared" si="30"/>
        <v>1</v>
      </c>
      <c r="V300" s="233"/>
      <c r="W300" s="223"/>
      <c r="X300" s="196" t="e">
        <f t="shared" si="28"/>
        <v>#VALUE!</v>
      </c>
    </row>
    <row r="301" spans="1:24" s="221" customFormat="1">
      <c r="A301" s="226" t="s">
        <v>1895</v>
      </c>
      <c r="B301" s="226" t="s">
        <v>1894</v>
      </c>
      <c r="C301" s="226"/>
      <c r="D301" s="226"/>
      <c r="E301" s="226"/>
      <c r="F301" s="226"/>
      <c r="G301" s="220" t="str">
        <f t="shared" si="27"/>
        <v>//</v>
      </c>
      <c r="H301" s="242"/>
      <c r="I301" s="242"/>
      <c r="J301" s="225"/>
      <c r="K301" s="226"/>
      <c r="L301" s="226"/>
      <c r="M301" s="226" t="s">
        <v>869</v>
      </c>
      <c r="N301" s="230">
        <v>1</v>
      </c>
      <c r="O301" s="230"/>
      <c r="Q301" s="221">
        <v>10</v>
      </c>
      <c r="R301" s="112">
        <f t="shared" si="29"/>
        <v>0</v>
      </c>
      <c r="S301" s="223">
        <v>0</v>
      </c>
      <c r="T301" s="223">
        <f t="shared" si="30"/>
        <v>1</v>
      </c>
      <c r="V301" s="233"/>
      <c r="W301" s="223"/>
      <c r="X301" s="196" t="e">
        <f t="shared" si="28"/>
        <v>#VALUE!</v>
      </c>
    </row>
    <row r="302" spans="1:24" s="221" customFormat="1">
      <c r="A302" s="226" t="s">
        <v>1893</v>
      </c>
      <c r="B302" s="226" t="s">
        <v>1892</v>
      </c>
      <c r="C302" s="226"/>
      <c r="D302" s="226"/>
      <c r="E302" s="226"/>
      <c r="F302" s="226"/>
      <c r="G302" s="220" t="str">
        <f t="shared" si="27"/>
        <v>//</v>
      </c>
      <c r="H302" s="242"/>
      <c r="I302" s="242"/>
      <c r="J302" s="225"/>
      <c r="K302" s="226"/>
      <c r="L302" s="225"/>
      <c r="M302" s="226" t="s">
        <v>869</v>
      </c>
      <c r="N302" s="230">
        <v>1</v>
      </c>
      <c r="O302" s="230" t="s">
        <v>593</v>
      </c>
      <c r="Q302" s="221">
        <v>10</v>
      </c>
      <c r="R302" s="112">
        <f t="shared" si="29"/>
        <v>0</v>
      </c>
      <c r="S302" s="223">
        <v>0</v>
      </c>
      <c r="T302" s="223">
        <f t="shared" si="30"/>
        <v>1</v>
      </c>
      <c r="V302" s="233"/>
      <c r="W302" s="223"/>
      <c r="X302" s="196" t="e">
        <f t="shared" si="28"/>
        <v>#VALUE!</v>
      </c>
    </row>
    <row r="303" spans="1:24" s="221" customFormat="1" ht="31.5">
      <c r="A303" s="226" t="s">
        <v>1891</v>
      </c>
      <c r="B303" s="226" t="s">
        <v>1890</v>
      </c>
      <c r="C303" s="226"/>
      <c r="D303" s="226"/>
      <c r="E303" s="226"/>
      <c r="F303" s="226" t="s">
        <v>1889</v>
      </c>
      <c r="G303" s="220" t="str">
        <f t="shared" si="27"/>
        <v>2/6/2004</v>
      </c>
      <c r="H303" s="242">
        <v>2</v>
      </c>
      <c r="I303" s="242">
        <v>6</v>
      </c>
      <c r="J303" s="225">
        <v>2004</v>
      </c>
      <c r="K303" s="226" t="s">
        <v>1510</v>
      </c>
      <c r="L303" s="226">
        <v>841</v>
      </c>
      <c r="M303" s="226" t="s">
        <v>869</v>
      </c>
      <c r="N303" s="252">
        <v>900</v>
      </c>
      <c r="O303" s="253" t="s">
        <v>1888</v>
      </c>
      <c r="Q303" s="221">
        <v>10</v>
      </c>
      <c r="R303" s="112">
        <f t="shared" si="29"/>
        <v>7.4916666666666671</v>
      </c>
      <c r="S303" s="223">
        <f t="shared" ref="S303:S323" si="32">X303*R303</f>
        <v>884.01666666666677</v>
      </c>
      <c r="T303" s="223">
        <f t="shared" si="30"/>
        <v>15.983333333333235</v>
      </c>
      <c r="U303" s="221">
        <v>3169</v>
      </c>
      <c r="V303" s="233"/>
      <c r="W303" s="223"/>
      <c r="X303" s="196">
        <f t="shared" si="28"/>
        <v>118</v>
      </c>
    </row>
    <row r="304" spans="1:24" s="221" customFormat="1">
      <c r="A304" s="226" t="s">
        <v>1887</v>
      </c>
      <c r="B304" s="226" t="s">
        <v>1867</v>
      </c>
      <c r="C304" s="226"/>
      <c r="D304" s="226"/>
      <c r="E304" s="226"/>
      <c r="F304" s="226"/>
      <c r="G304" s="220" t="str">
        <f t="shared" si="27"/>
        <v>8/10/2007</v>
      </c>
      <c r="H304" s="242">
        <v>8</v>
      </c>
      <c r="I304" s="242">
        <v>10</v>
      </c>
      <c r="J304" s="225">
        <v>2007</v>
      </c>
      <c r="K304" s="226" t="s">
        <v>1583</v>
      </c>
      <c r="L304" s="226" t="s">
        <v>1866</v>
      </c>
      <c r="M304" s="226" t="s">
        <v>869</v>
      </c>
      <c r="N304" s="168">
        <v>999.1</v>
      </c>
      <c r="O304" s="168"/>
      <c r="Q304" s="221">
        <v>10</v>
      </c>
      <c r="R304" s="112">
        <f t="shared" si="29"/>
        <v>8.3175000000000008</v>
      </c>
      <c r="S304" s="223">
        <f t="shared" si="32"/>
        <v>648.7650000000001</v>
      </c>
      <c r="T304" s="223">
        <f t="shared" si="30"/>
        <v>350.33499999999992</v>
      </c>
      <c r="V304" s="233"/>
      <c r="W304" s="223"/>
      <c r="X304" s="196">
        <f t="shared" si="28"/>
        <v>78</v>
      </c>
    </row>
    <row r="305" spans="1:24" s="221" customFormat="1">
      <c r="A305" s="226" t="s">
        <v>1886</v>
      </c>
      <c r="B305" s="226" t="s">
        <v>1867</v>
      </c>
      <c r="C305" s="226"/>
      <c r="D305" s="226"/>
      <c r="E305" s="226"/>
      <c r="F305" s="226"/>
      <c r="G305" s="220" t="str">
        <f t="shared" si="27"/>
        <v>8/10/2007</v>
      </c>
      <c r="H305" s="242">
        <v>8</v>
      </c>
      <c r="I305" s="242">
        <v>10</v>
      </c>
      <c r="J305" s="225">
        <v>2007</v>
      </c>
      <c r="K305" s="226" t="s">
        <v>1583</v>
      </c>
      <c r="L305" s="226" t="s">
        <v>1866</v>
      </c>
      <c r="M305" s="226" t="s">
        <v>869</v>
      </c>
      <c r="N305" s="168">
        <v>999.1</v>
      </c>
      <c r="O305" s="168"/>
      <c r="Q305" s="221">
        <v>10</v>
      </c>
      <c r="R305" s="112">
        <f t="shared" si="29"/>
        <v>8.3175000000000008</v>
      </c>
      <c r="S305" s="223">
        <f t="shared" si="32"/>
        <v>648.7650000000001</v>
      </c>
      <c r="T305" s="223">
        <f t="shared" si="30"/>
        <v>350.33499999999992</v>
      </c>
      <c r="V305" s="233"/>
      <c r="W305" s="223"/>
      <c r="X305" s="196">
        <f t="shared" si="28"/>
        <v>78</v>
      </c>
    </row>
    <row r="306" spans="1:24" s="221" customFormat="1">
      <c r="A306" s="226" t="s">
        <v>1885</v>
      </c>
      <c r="B306" s="226" t="s">
        <v>1867</v>
      </c>
      <c r="C306" s="226"/>
      <c r="D306" s="226"/>
      <c r="E306" s="226"/>
      <c r="F306" s="226"/>
      <c r="G306" s="220" t="str">
        <f t="shared" si="27"/>
        <v>8/10/2007</v>
      </c>
      <c r="H306" s="242">
        <v>8</v>
      </c>
      <c r="I306" s="242">
        <v>10</v>
      </c>
      <c r="J306" s="225">
        <v>2007</v>
      </c>
      <c r="K306" s="226" t="s">
        <v>1583</v>
      </c>
      <c r="L306" s="226" t="s">
        <v>1866</v>
      </c>
      <c r="M306" s="226" t="s">
        <v>869</v>
      </c>
      <c r="N306" s="168">
        <v>999.1</v>
      </c>
      <c r="O306" s="168"/>
      <c r="Q306" s="221">
        <v>10</v>
      </c>
      <c r="R306" s="112">
        <f t="shared" si="29"/>
        <v>8.3175000000000008</v>
      </c>
      <c r="S306" s="223">
        <f t="shared" si="32"/>
        <v>648.7650000000001</v>
      </c>
      <c r="T306" s="223">
        <f t="shared" si="30"/>
        <v>350.33499999999992</v>
      </c>
      <c r="V306" s="233"/>
      <c r="W306" s="223"/>
      <c r="X306" s="196">
        <f t="shared" si="28"/>
        <v>78</v>
      </c>
    </row>
    <row r="307" spans="1:24" s="221" customFormat="1">
      <c r="A307" s="226" t="s">
        <v>1884</v>
      </c>
      <c r="B307" s="226" t="s">
        <v>1867</v>
      </c>
      <c r="C307" s="226"/>
      <c r="D307" s="226"/>
      <c r="E307" s="226"/>
      <c r="F307" s="226"/>
      <c r="G307" s="220" t="str">
        <f t="shared" si="27"/>
        <v>8/10/2007</v>
      </c>
      <c r="H307" s="242">
        <v>8</v>
      </c>
      <c r="I307" s="242">
        <v>10</v>
      </c>
      <c r="J307" s="225">
        <v>2007</v>
      </c>
      <c r="K307" s="226" t="s">
        <v>1583</v>
      </c>
      <c r="L307" s="226" t="s">
        <v>1866</v>
      </c>
      <c r="M307" s="226" t="s">
        <v>869</v>
      </c>
      <c r="N307" s="168">
        <v>999.1</v>
      </c>
      <c r="O307" s="168"/>
      <c r="Q307" s="221">
        <v>10</v>
      </c>
      <c r="R307" s="112">
        <f t="shared" si="29"/>
        <v>8.3175000000000008</v>
      </c>
      <c r="S307" s="223">
        <f t="shared" si="32"/>
        <v>648.7650000000001</v>
      </c>
      <c r="T307" s="223">
        <f t="shared" si="30"/>
        <v>350.33499999999992</v>
      </c>
      <c r="V307" s="233"/>
      <c r="W307" s="223"/>
      <c r="X307" s="196">
        <f t="shared" si="28"/>
        <v>78</v>
      </c>
    </row>
    <row r="308" spans="1:24" s="221" customFormat="1">
      <c r="A308" s="226" t="s">
        <v>1883</v>
      </c>
      <c r="B308" s="226" t="s">
        <v>1867</v>
      </c>
      <c r="C308" s="226"/>
      <c r="D308" s="226"/>
      <c r="E308" s="226"/>
      <c r="F308" s="226"/>
      <c r="G308" s="220" t="str">
        <f t="shared" si="27"/>
        <v>8/10/2007</v>
      </c>
      <c r="H308" s="242">
        <v>8</v>
      </c>
      <c r="I308" s="242">
        <v>10</v>
      </c>
      <c r="J308" s="225">
        <v>2007</v>
      </c>
      <c r="K308" s="226" t="s">
        <v>1583</v>
      </c>
      <c r="L308" s="226" t="s">
        <v>1866</v>
      </c>
      <c r="M308" s="226" t="s">
        <v>869</v>
      </c>
      <c r="N308" s="168">
        <v>999.1</v>
      </c>
      <c r="O308" s="168"/>
      <c r="Q308" s="221">
        <v>10</v>
      </c>
      <c r="R308" s="112">
        <f t="shared" si="29"/>
        <v>8.3175000000000008</v>
      </c>
      <c r="S308" s="223">
        <f t="shared" si="32"/>
        <v>648.7650000000001</v>
      </c>
      <c r="T308" s="223">
        <f t="shared" si="30"/>
        <v>350.33499999999992</v>
      </c>
      <c r="V308" s="233"/>
      <c r="W308" s="223"/>
      <c r="X308" s="196">
        <f t="shared" si="28"/>
        <v>78</v>
      </c>
    </row>
    <row r="309" spans="1:24" s="221" customFormat="1">
      <c r="A309" s="226" t="s">
        <v>1882</v>
      </c>
      <c r="B309" s="226" t="s">
        <v>1867</v>
      </c>
      <c r="C309" s="226"/>
      <c r="D309" s="226"/>
      <c r="E309" s="226"/>
      <c r="F309" s="226"/>
      <c r="G309" s="220" t="str">
        <f t="shared" si="27"/>
        <v>8/10/2007</v>
      </c>
      <c r="H309" s="242">
        <v>8</v>
      </c>
      <c r="I309" s="242">
        <v>10</v>
      </c>
      <c r="J309" s="225">
        <v>2007</v>
      </c>
      <c r="K309" s="226" t="s">
        <v>1583</v>
      </c>
      <c r="L309" s="226" t="s">
        <v>1866</v>
      </c>
      <c r="M309" s="226" t="s">
        <v>869</v>
      </c>
      <c r="N309" s="168">
        <v>999.1</v>
      </c>
      <c r="O309" s="168"/>
      <c r="Q309" s="221">
        <v>10</v>
      </c>
      <c r="R309" s="112">
        <f t="shared" si="29"/>
        <v>8.3175000000000008</v>
      </c>
      <c r="S309" s="223">
        <f t="shared" si="32"/>
        <v>648.7650000000001</v>
      </c>
      <c r="T309" s="223">
        <f t="shared" si="30"/>
        <v>350.33499999999992</v>
      </c>
      <c r="V309" s="233"/>
      <c r="W309" s="223"/>
      <c r="X309" s="196">
        <f t="shared" si="28"/>
        <v>78</v>
      </c>
    </row>
    <row r="310" spans="1:24" s="221" customFormat="1">
      <c r="A310" s="226" t="s">
        <v>1881</v>
      </c>
      <c r="B310" s="226" t="s">
        <v>1867</v>
      </c>
      <c r="C310" s="226"/>
      <c r="D310" s="226"/>
      <c r="E310" s="226"/>
      <c r="F310" s="226"/>
      <c r="G310" s="220" t="str">
        <f t="shared" si="27"/>
        <v>8/10/2007</v>
      </c>
      <c r="H310" s="242">
        <v>8</v>
      </c>
      <c r="I310" s="242">
        <v>10</v>
      </c>
      <c r="J310" s="225">
        <v>2007</v>
      </c>
      <c r="K310" s="226" t="s">
        <v>1583</v>
      </c>
      <c r="L310" s="226" t="s">
        <v>1866</v>
      </c>
      <c r="M310" s="226" t="s">
        <v>869</v>
      </c>
      <c r="N310" s="168">
        <v>999.1</v>
      </c>
      <c r="O310" s="168"/>
      <c r="Q310" s="221">
        <v>10</v>
      </c>
      <c r="R310" s="112">
        <f t="shared" si="29"/>
        <v>8.3175000000000008</v>
      </c>
      <c r="S310" s="223">
        <f t="shared" si="32"/>
        <v>648.7650000000001</v>
      </c>
      <c r="T310" s="223">
        <f t="shared" si="30"/>
        <v>350.33499999999992</v>
      </c>
      <c r="V310" s="233"/>
      <c r="W310" s="223"/>
      <c r="X310" s="196">
        <f t="shared" si="28"/>
        <v>78</v>
      </c>
    </row>
    <row r="311" spans="1:24" s="221" customFormat="1">
      <c r="A311" s="226" t="s">
        <v>1880</v>
      </c>
      <c r="B311" s="226" t="s">
        <v>1867</v>
      </c>
      <c r="C311" s="226"/>
      <c r="D311" s="226"/>
      <c r="E311" s="226"/>
      <c r="F311" s="226"/>
      <c r="G311" s="220" t="str">
        <f t="shared" si="27"/>
        <v>8/10/2007</v>
      </c>
      <c r="H311" s="242">
        <v>8</v>
      </c>
      <c r="I311" s="242">
        <v>10</v>
      </c>
      <c r="J311" s="225">
        <v>2007</v>
      </c>
      <c r="K311" s="226" t="s">
        <v>1583</v>
      </c>
      <c r="L311" s="226" t="s">
        <v>1866</v>
      </c>
      <c r="M311" s="226" t="s">
        <v>869</v>
      </c>
      <c r="N311" s="168">
        <v>999.1</v>
      </c>
      <c r="O311" s="168"/>
      <c r="Q311" s="221">
        <v>10</v>
      </c>
      <c r="R311" s="112">
        <f t="shared" si="29"/>
        <v>8.3175000000000008</v>
      </c>
      <c r="S311" s="223">
        <f t="shared" si="32"/>
        <v>648.7650000000001</v>
      </c>
      <c r="T311" s="223">
        <f t="shared" si="30"/>
        <v>350.33499999999992</v>
      </c>
      <c r="V311" s="233"/>
      <c r="W311" s="223"/>
      <c r="X311" s="196">
        <f t="shared" si="28"/>
        <v>78</v>
      </c>
    </row>
    <row r="312" spans="1:24" s="221" customFormat="1">
      <c r="A312" s="226" t="s">
        <v>1879</v>
      </c>
      <c r="B312" s="226" t="s">
        <v>1867</v>
      </c>
      <c r="C312" s="226"/>
      <c r="D312" s="226"/>
      <c r="E312" s="226"/>
      <c r="F312" s="226"/>
      <c r="G312" s="220" t="str">
        <f t="shared" si="27"/>
        <v>8/10/2007</v>
      </c>
      <c r="H312" s="242">
        <v>8</v>
      </c>
      <c r="I312" s="242">
        <v>10</v>
      </c>
      <c r="J312" s="225">
        <v>2007</v>
      </c>
      <c r="K312" s="226" t="s">
        <v>1583</v>
      </c>
      <c r="L312" s="226" t="s">
        <v>1866</v>
      </c>
      <c r="M312" s="226" t="s">
        <v>869</v>
      </c>
      <c r="N312" s="168">
        <v>999.1</v>
      </c>
      <c r="O312" s="168"/>
      <c r="Q312" s="221">
        <v>10</v>
      </c>
      <c r="R312" s="112">
        <f t="shared" si="29"/>
        <v>8.3175000000000008</v>
      </c>
      <c r="S312" s="223">
        <f t="shared" si="32"/>
        <v>648.7650000000001</v>
      </c>
      <c r="T312" s="223">
        <f t="shared" si="30"/>
        <v>350.33499999999992</v>
      </c>
      <c r="V312" s="233"/>
      <c r="W312" s="223"/>
      <c r="X312" s="196">
        <f t="shared" si="28"/>
        <v>78</v>
      </c>
    </row>
    <row r="313" spans="1:24" s="221" customFormat="1">
      <c r="A313" s="226" t="s">
        <v>1878</v>
      </c>
      <c r="B313" s="226" t="s">
        <v>1867</v>
      </c>
      <c r="C313" s="226"/>
      <c r="D313" s="226"/>
      <c r="E313" s="226"/>
      <c r="F313" s="226"/>
      <c r="G313" s="220" t="str">
        <f t="shared" si="27"/>
        <v>8/10/2007</v>
      </c>
      <c r="H313" s="242">
        <v>8</v>
      </c>
      <c r="I313" s="242">
        <v>10</v>
      </c>
      <c r="J313" s="225">
        <v>2007</v>
      </c>
      <c r="K313" s="226" t="s">
        <v>1583</v>
      </c>
      <c r="L313" s="226" t="s">
        <v>1866</v>
      </c>
      <c r="M313" s="226" t="s">
        <v>869</v>
      </c>
      <c r="N313" s="168">
        <v>999.1</v>
      </c>
      <c r="O313" s="168"/>
      <c r="Q313" s="221">
        <v>10</v>
      </c>
      <c r="R313" s="112">
        <f t="shared" si="29"/>
        <v>8.3175000000000008</v>
      </c>
      <c r="S313" s="223">
        <f t="shared" si="32"/>
        <v>648.7650000000001</v>
      </c>
      <c r="T313" s="223">
        <f t="shared" si="30"/>
        <v>350.33499999999992</v>
      </c>
      <c r="V313" s="233"/>
      <c r="W313" s="223"/>
      <c r="X313" s="196">
        <f t="shared" si="28"/>
        <v>78</v>
      </c>
    </row>
    <row r="314" spans="1:24" s="221" customFormat="1">
      <c r="A314" s="226" t="s">
        <v>1877</v>
      </c>
      <c r="B314" s="226" t="s">
        <v>1867</v>
      </c>
      <c r="C314" s="226"/>
      <c r="D314" s="226"/>
      <c r="E314" s="226"/>
      <c r="F314" s="226"/>
      <c r="G314" s="220" t="str">
        <f t="shared" si="27"/>
        <v>8/10/2007</v>
      </c>
      <c r="H314" s="242">
        <v>8</v>
      </c>
      <c r="I314" s="242">
        <v>10</v>
      </c>
      <c r="J314" s="225">
        <v>2007</v>
      </c>
      <c r="K314" s="226" t="s">
        <v>1583</v>
      </c>
      <c r="L314" s="226" t="s">
        <v>1866</v>
      </c>
      <c r="M314" s="226" t="s">
        <v>869</v>
      </c>
      <c r="N314" s="168">
        <v>999.1</v>
      </c>
      <c r="O314" s="168"/>
      <c r="Q314" s="221">
        <v>10</v>
      </c>
      <c r="R314" s="112">
        <f t="shared" si="29"/>
        <v>8.3175000000000008</v>
      </c>
      <c r="S314" s="223">
        <f t="shared" si="32"/>
        <v>648.7650000000001</v>
      </c>
      <c r="T314" s="223">
        <f t="shared" si="30"/>
        <v>350.33499999999992</v>
      </c>
      <c r="V314" s="233"/>
      <c r="W314" s="223"/>
      <c r="X314" s="196">
        <f t="shared" si="28"/>
        <v>78</v>
      </c>
    </row>
    <row r="315" spans="1:24" s="221" customFormat="1">
      <c r="A315" s="226" t="s">
        <v>1876</v>
      </c>
      <c r="B315" s="226" t="s">
        <v>1867</v>
      </c>
      <c r="C315" s="226"/>
      <c r="D315" s="226"/>
      <c r="E315" s="226"/>
      <c r="F315" s="226"/>
      <c r="G315" s="220" t="str">
        <f t="shared" si="27"/>
        <v>8/10/2007</v>
      </c>
      <c r="H315" s="242">
        <v>8</v>
      </c>
      <c r="I315" s="242">
        <v>10</v>
      </c>
      <c r="J315" s="225">
        <v>2007</v>
      </c>
      <c r="K315" s="226" t="s">
        <v>1583</v>
      </c>
      <c r="L315" s="226" t="s">
        <v>1866</v>
      </c>
      <c r="M315" s="226" t="s">
        <v>869</v>
      </c>
      <c r="N315" s="168">
        <v>999.1</v>
      </c>
      <c r="O315" s="168"/>
      <c r="Q315" s="221">
        <v>10</v>
      </c>
      <c r="R315" s="112">
        <f t="shared" si="29"/>
        <v>8.3175000000000008</v>
      </c>
      <c r="S315" s="223">
        <f t="shared" si="32"/>
        <v>648.7650000000001</v>
      </c>
      <c r="T315" s="223">
        <f t="shared" si="30"/>
        <v>350.33499999999992</v>
      </c>
      <c r="V315" s="233"/>
      <c r="W315" s="223"/>
      <c r="X315" s="196">
        <f t="shared" si="28"/>
        <v>78</v>
      </c>
    </row>
    <row r="316" spans="1:24" s="221" customFormat="1">
      <c r="A316" s="226" t="s">
        <v>1875</v>
      </c>
      <c r="B316" s="226" t="s">
        <v>1867</v>
      </c>
      <c r="C316" s="226"/>
      <c r="D316" s="226"/>
      <c r="E316" s="226"/>
      <c r="F316" s="226"/>
      <c r="G316" s="220" t="str">
        <f t="shared" si="27"/>
        <v>8/10/2007</v>
      </c>
      <c r="H316" s="242">
        <v>8</v>
      </c>
      <c r="I316" s="242">
        <v>10</v>
      </c>
      <c r="J316" s="225">
        <v>2007</v>
      </c>
      <c r="K316" s="226" t="s">
        <v>1583</v>
      </c>
      <c r="L316" s="226" t="s">
        <v>1866</v>
      </c>
      <c r="M316" s="226" t="s">
        <v>869</v>
      </c>
      <c r="N316" s="168">
        <v>999.1</v>
      </c>
      <c r="O316" s="168"/>
      <c r="Q316" s="221">
        <v>10</v>
      </c>
      <c r="R316" s="112">
        <f t="shared" si="29"/>
        <v>8.3175000000000008</v>
      </c>
      <c r="S316" s="223">
        <f t="shared" si="32"/>
        <v>648.7650000000001</v>
      </c>
      <c r="T316" s="223">
        <f t="shared" si="30"/>
        <v>350.33499999999992</v>
      </c>
      <c r="V316" s="233"/>
      <c r="W316" s="223"/>
      <c r="X316" s="196">
        <f t="shared" si="28"/>
        <v>78</v>
      </c>
    </row>
    <row r="317" spans="1:24" s="221" customFormat="1">
      <c r="A317" s="226" t="s">
        <v>1874</v>
      </c>
      <c r="B317" s="226" t="s">
        <v>1867</v>
      </c>
      <c r="C317" s="226"/>
      <c r="D317" s="226"/>
      <c r="E317" s="226"/>
      <c r="F317" s="226"/>
      <c r="G317" s="220" t="str">
        <f t="shared" si="27"/>
        <v>8/10/2007</v>
      </c>
      <c r="H317" s="242">
        <v>8</v>
      </c>
      <c r="I317" s="242">
        <v>10</v>
      </c>
      <c r="J317" s="225">
        <v>2007</v>
      </c>
      <c r="K317" s="226" t="s">
        <v>1583</v>
      </c>
      <c r="L317" s="226" t="s">
        <v>1866</v>
      </c>
      <c r="M317" s="226" t="s">
        <v>869</v>
      </c>
      <c r="N317" s="168">
        <v>999.1</v>
      </c>
      <c r="O317" s="168"/>
      <c r="Q317" s="221">
        <v>10</v>
      </c>
      <c r="R317" s="112">
        <f t="shared" si="29"/>
        <v>8.3175000000000008</v>
      </c>
      <c r="S317" s="223">
        <f t="shared" si="32"/>
        <v>648.7650000000001</v>
      </c>
      <c r="T317" s="223">
        <f t="shared" si="30"/>
        <v>350.33499999999992</v>
      </c>
      <c r="V317" s="233"/>
      <c r="W317" s="223"/>
      <c r="X317" s="196">
        <f t="shared" si="28"/>
        <v>78</v>
      </c>
    </row>
    <row r="318" spans="1:24" s="221" customFormat="1">
      <c r="A318" s="226" t="s">
        <v>1873</v>
      </c>
      <c r="B318" s="226" t="s">
        <v>1867</v>
      </c>
      <c r="C318" s="226"/>
      <c r="D318" s="226"/>
      <c r="E318" s="226"/>
      <c r="F318" s="226"/>
      <c r="G318" s="220" t="str">
        <f t="shared" si="27"/>
        <v>8/10/2007</v>
      </c>
      <c r="H318" s="242">
        <v>8</v>
      </c>
      <c r="I318" s="242">
        <v>10</v>
      </c>
      <c r="J318" s="225">
        <v>2007</v>
      </c>
      <c r="K318" s="226" t="s">
        <v>1583</v>
      </c>
      <c r="L318" s="226" t="s">
        <v>1866</v>
      </c>
      <c r="M318" s="226" t="s">
        <v>869</v>
      </c>
      <c r="N318" s="168">
        <v>999.1</v>
      </c>
      <c r="O318" s="168"/>
      <c r="Q318" s="221">
        <v>10</v>
      </c>
      <c r="R318" s="112">
        <f t="shared" si="29"/>
        <v>8.3175000000000008</v>
      </c>
      <c r="S318" s="223">
        <f t="shared" si="32"/>
        <v>648.7650000000001</v>
      </c>
      <c r="T318" s="223">
        <f t="shared" si="30"/>
        <v>350.33499999999992</v>
      </c>
      <c r="V318" s="233"/>
      <c r="W318" s="223"/>
      <c r="X318" s="196">
        <f t="shared" si="28"/>
        <v>78</v>
      </c>
    </row>
    <row r="319" spans="1:24" s="221" customFormat="1">
      <c r="A319" s="226" t="s">
        <v>1872</v>
      </c>
      <c r="B319" s="226" t="s">
        <v>1867</v>
      </c>
      <c r="C319" s="226"/>
      <c r="D319" s="226"/>
      <c r="E319" s="226"/>
      <c r="F319" s="226"/>
      <c r="G319" s="220" t="str">
        <f t="shared" si="27"/>
        <v>8/10/2007</v>
      </c>
      <c r="H319" s="242">
        <v>8</v>
      </c>
      <c r="I319" s="242">
        <v>10</v>
      </c>
      <c r="J319" s="225">
        <v>2007</v>
      </c>
      <c r="K319" s="226" t="s">
        <v>1583</v>
      </c>
      <c r="L319" s="226" t="s">
        <v>1866</v>
      </c>
      <c r="M319" s="226" t="s">
        <v>869</v>
      </c>
      <c r="N319" s="168">
        <v>999.1</v>
      </c>
      <c r="O319" s="168"/>
      <c r="Q319" s="221">
        <v>10</v>
      </c>
      <c r="R319" s="112">
        <f t="shared" si="29"/>
        <v>8.3175000000000008</v>
      </c>
      <c r="S319" s="223">
        <f t="shared" si="32"/>
        <v>648.7650000000001</v>
      </c>
      <c r="T319" s="223">
        <f t="shared" si="30"/>
        <v>350.33499999999992</v>
      </c>
      <c r="V319" s="233"/>
      <c r="W319" s="223"/>
      <c r="X319" s="196">
        <f t="shared" si="28"/>
        <v>78</v>
      </c>
    </row>
    <row r="320" spans="1:24" s="221" customFormat="1">
      <c r="A320" s="226" t="s">
        <v>1871</v>
      </c>
      <c r="B320" s="226" t="s">
        <v>1867</v>
      </c>
      <c r="C320" s="226"/>
      <c r="D320" s="226"/>
      <c r="E320" s="226"/>
      <c r="F320" s="226"/>
      <c r="G320" s="220" t="str">
        <f t="shared" si="27"/>
        <v>8/10/2007</v>
      </c>
      <c r="H320" s="242">
        <v>8</v>
      </c>
      <c r="I320" s="242">
        <v>10</v>
      </c>
      <c r="J320" s="225">
        <v>2007</v>
      </c>
      <c r="K320" s="226" t="s">
        <v>1583</v>
      </c>
      <c r="L320" s="226" t="s">
        <v>1866</v>
      </c>
      <c r="M320" s="226" t="s">
        <v>869</v>
      </c>
      <c r="N320" s="168">
        <v>999.1</v>
      </c>
      <c r="O320" s="168"/>
      <c r="Q320" s="221">
        <v>10</v>
      </c>
      <c r="R320" s="112">
        <f t="shared" si="29"/>
        <v>8.3175000000000008</v>
      </c>
      <c r="S320" s="223">
        <f t="shared" si="32"/>
        <v>648.7650000000001</v>
      </c>
      <c r="T320" s="223">
        <f t="shared" si="30"/>
        <v>350.33499999999992</v>
      </c>
      <c r="V320" s="233"/>
      <c r="W320" s="223"/>
      <c r="X320" s="196">
        <f t="shared" si="28"/>
        <v>78</v>
      </c>
    </row>
    <row r="321" spans="1:24" s="221" customFormat="1">
      <c r="A321" s="226" t="s">
        <v>1870</v>
      </c>
      <c r="B321" s="226" t="s">
        <v>1867</v>
      </c>
      <c r="C321" s="226"/>
      <c r="D321" s="226"/>
      <c r="E321" s="226"/>
      <c r="F321" s="226"/>
      <c r="G321" s="220" t="str">
        <f t="shared" si="27"/>
        <v>8/10/2007</v>
      </c>
      <c r="H321" s="242">
        <v>8</v>
      </c>
      <c r="I321" s="242">
        <v>10</v>
      </c>
      <c r="J321" s="225">
        <v>2007</v>
      </c>
      <c r="K321" s="226" t="s">
        <v>1583</v>
      </c>
      <c r="L321" s="226" t="s">
        <v>1866</v>
      </c>
      <c r="M321" s="226" t="s">
        <v>869</v>
      </c>
      <c r="N321" s="168">
        <v>999.1</v>
      </c>
      <c r="O321" s="168"/>
      <c r="Q321" s="221">
        <v>10</v>
      </c>
      <c r="R321" s="112">
        <f t="shared" si="29"/>
        <v>8.3175000000000008</v>
      </c>
      <c r="S321" s="223">
        <f t="shared" si="32"/>
        <v>648.7650000000001</v>
      </c>
      <c r="T321" s="223">
        <f t="shared" si="30"/>
        <v>350.33499999999992</v>
      </c>
      <c r="V321" s="233"/>
      <c r="W321" s="223"/>
      <c r="X321" s="196">
        <f t="shared" si="28"/>
        <v>78</v>
      </c>
    </row>
    <row r="322" spans="1:24" s="221" customFormat="1">
      <c r="A322" s="226" t="s">
        <v>1869</v>
      </c>
      <c r="B322" s="226" t="s">
        <v>1867</v>
      </c>
      <c r="C322" s="226"/>
      <c r="D322" s="226"/>
      <c r="E322" s="226"/>
      <c r="F322" s="226"/>
      <c r="G322" s="220" t="str">
        <f t="shared" si="27"/>
        <v>8/10/2007</v>
      </c>
      <c r="H322" s="242">
        <v>8</v>
      </c>
      <c r="I322" s="242">
        <v>10</v>
      </c>
      <c r="J322" s="225">
        <v>2007</v>
      </c>
      <c r="K322" s="226" t="s">
        <v>1583</v>
      </c>
      <c r="L322" s="226" t="s">
        <v>1866</v>
      </c>
      <c r="M322" s="226" t="s">
        <v>869</v>
      </c>
      <c r="N322" s="168">
        <v>999.1</v>
      </c>
      <c r="O322" s="168"/>
      <c r="Q322" s="221">
        <v>10</v>
      </c>
      <c r="R322" s="112">
        <f t="shared" si="29"/>
        <v>8.3175000000000008</v>
      </c>
      <c r="S322" s="223">
        <f t="shared" si="32"/>
        <v>648.7650000000001</v>
      </c>
      <c r="T322" s="223">
        <f t="shared" si="30"/>
        <v>350.33499999999992</v>
      </c>
      <c r="V322" s="233"/>
      <c r="W322" s="223"/>
      <c r="X322" s="196">
        <f t="shared" si="28"/>
        <v>78</v>
      </c>
    </row>
    <row r="323" spans="1:24" s="221" customFormat="1">
      <c r="A323" s="226" t="s">
        <v>1868</v>
      </c>
      <c r="B323" s="226" t="s">
        <v>1867</v>
      </c>
      <c r="C323" s="226"/>
      <c r="D323" s="226"/>
      <c r="E323" s="226"/>
      <c r="F323" s="226"/>
      <c r="G323" s="220" t="str">
        <f t="shared" si="27"/>
        <v>8/10/2007</v>
      </c>
      <c r="H323" s="242">
        <v>8</v>
      </c>
      <c r="I323" s="242">
        <v>10</v>
      </c>
      <c r="J323" s="225">
        <v>2007</v>
      </c>
      <c r="K323" s="226" t="s">
        <v>1583</v>
      </c>
      <c r="L323" s="226" t="s">
        <v>1866</v>
      </c>
      <c r="M323" s="226" t="s">
        <v>869</v>
      </c>
      <c r="N323" s="168">
        <v>999.1</v>
      </c>
      <c r="O323" s="168"/>
      <c r="Q323" s="221">
        <v>10</v>
      </c>
      <c r="R323" s="112">
        <f t="shared" si="29"/>
        <v>8.3175000000000008</v>
      </c>
      <c r="S323" s="223">
        <f t="shared" si="32"/>
        <v>648.7650000000001</v>
      </c>
      <c r="T323" s="223">
        <f t="shared" si="30"/>
        <v>350.33499999999992</v>
      </c>
      <c r="V323" s="233"/>
      <c r="W323" s="223"/>
      <c r="X323" s="196">
        <f t="shared" si="28"/>
        <v>78</v>
      </c>
    </row>
    <row r="324" spans="1:24" s="221" customFormat="1">
      <c r="A324" s="226" t="s">
        <v>1865</v>
      </c>
      <c r="B324" s="226" t="s">
        <v>1864</v>
      </c>
      <c r="C324" s="226"/>
      <c r="D324" s="226" t="s">
        <v>1810</v>
      </c>
      <c r="E324" s="226"/>
      <c r="F324" s="226"/>
      <c r="G324" s="220" t="str">
        <f t="shared" si="27"/>
        <v>//</v>
      </c>
      <c r="H324" s="242"/>
      <c r="I324" s="242"/>
      <c r="J324" s="225"/>
      <c r="K324" s="226"/>
      <c r="L324" s="226"/>
      <c r="M324" s="226" t="s">
        <v>869</v>
      </c>
      <c r="N324" s="230">
        <v>1</v>
      </c>
      <c r="O324" s="230"/>
      <c r="Q324" s="221">
        <v>10</v>
      </c>
      <c r="R324" s="112">
        <f t="shared" si="29"/>
        <v>0</v>
      </c>
      <c r="S324" s="223">
        <v>0</v>
      </c>
      <c r="T324" s="223">
        <f t="shared" si="30"/>
        <v>1</v>
      </c>
      <c r="V324" s="233"/>
      <c r="W324" s="223"/>
      <c r="X324" s="196" t="e">
        <f t="shared" si="28"/>
        <v>#VALUE!</v>
      </c>
    </row>
    <row r="325" spans="1:24" s="221" customFormat="1">
      <c r="A325" s="226" t="s">
        <v>1863</v>
      </c>
      <c r="B325" s="226" t="s">
        <v>1862</v>
      </c>
      <c r="C325" s="226"/>
      <c r="D325" s="226"/>
      <c r="E325" s="226"/>
      <c r="F325" s="226" t="s">
        <v>1861</v>
      </c>
      <c r="G325" s="220" t="str">
        <f t="shared" si="27"/>
        <v>9/3/2007</v>
      </c>
      <c r="H325" s="242">
        <v>9</v>
      </c>
      <c r="I325" s="242">
        <v>3</v>
      </c>
      <c r="J325" s="225">
        <v>2007</v>
      </c>
      <c r="K325" s="226" t="s">
        <v>30</v>
      </c>
      <c r="L325" s="226">
        <v>1740</v>
      </c>
      <c r="M325" s="226" t="s">
        <v>869</v>
      </c>
      <c r="N325" s="168">
        <v>49109.760000000002</v>
      </c>
      <c r="O325" s="243" t="s">
        <v>1860</v>
      </c>
      <c r="Q325" s="221">
        <v>10</v>
      </c>
      <c r="R325" s="112">
        <f t="shared" si="29"/>
        <v>409.23966666666666</v>
      </c>
      <c r="S325" s="223">
        <f t="shared" ref="S325:S370" si="33">X325*R325</f>
        <v>34785.371666666666</v>
      </c>
      <c r="T325" s="223">
        <f t="shared" si="30"/>
        <v>14324.388333333336</v>
      </c>
      <c r="U325" s="221">
        <v>9378</v>
      </c>
      <c r="V325" s="233"/>
      <c r="W325" s="223"/>
      <c r="X325" s="196">
        <f t="shared" si="28"/>
        <v>85</v>
      </c>
    </row>
    <row r="326" spans="1:24" s="221" customFormat="1" ht="31.5">
      <c r="A326" s="226" t="s">
        <v>1859</v>
      </c>
      <c r="B326" s="226" t="s">
        <v>1858</v>
      </c>
      <c r="C326" s="226"/>
      <c r="D326" s="226"/>
      <c r="E326" s="226"/>
      <c r="F326" s="226" t="s">
        <v>1421</v>
      </c>
      <c r="G326" s="220" t="str">
        <f t="shared" si="27"/>
        <v>5/12/2006</v>
      </c>
      <c r="H326" s="242">
        <v>5</v>
      </c>
      <c r="I326" s="242">
        <v>12</v>
      </c>
      <c r="J326" s="225">
        <v>2006</v>
      </c>
      <c r="K326" s="226" t="s">
        <v>30</v>
      </c>
      <c r="L326" s="226">
        <v>10007</v>
      </c>
      <c r="M326" s="226" t="s">
        <v>869</v>
      </c>
      <c r="N326" s="230">
        <v>7969.2</v>
      </c>
      <c r="O326" s="199" t="s">
        <v>1857</v>
      </c>
      <c r="Q326" s="221">
        <v>10</v>
      </c>
      <c r="R326" s="112">
        <f t="shared" si="29"/>
        <v>66.401666666666657</v>
      </c>
      <c r="S326" s="223">
        <f t="shared" si="33"/>
        <v>5843.3466666666654</v>
      </c>
      <c r="T326" s="223">
        <f t="shared" si="30"/>
        <v>2125.8533333333344</v>
      </c>
      <c r="U326" s="221">
        <v>8995</v>
      </c>
      <c r="V326" s="233"/>
      <c r="W326" s="223"/>
      <c r="X326" s="196">
        <f t="shared" si="28"/>
        <v>88</v>
      </c>
    </row>
    <row r="327" spans="1:24" s="221" customFormat="1">
      <c r="A327" s="226" t="s">
        <v>1856</v>
      </c>
      <c r="B327" s="226" t="s">
        <v>1817</v>
      </c>
      <c r="C327" s="226"/>
      <c r="D327" s="226">
        <v>2269</v>
      </c>
      <c r="E327" s="226"/>
      <c r="F327" s="226" t="s">
        <v>1815</v>
      </c>
      <c r="G327" s="220" t="str">
        <f t="shared" ref="G327:G390" si="34">CONCATENATE(H327,"/",I327,"/",J327,)</f>
        <v>19/1/2004</v>
      </c>
      <c r="H327" s="242">
        <v>19</v>
      </c>
      <c r="I327" s="242">
        <v>1</v>
      </c>
      <c r="J327" s="225">
        <v>2004</v>
      </c>
      <c r="K327" s="226" t="s">
        <v>30</v>
      </c>
      <c r="L327" s="226" t="s">
        <v>1814</v>
      </c>
      <c r="M327" s="226" t="s">
        <v>869</v>
      </c>
      <c r="N327" s="230">
        <v>7236.13</v>
      </c>
      <c r="O327" s="230" t="s">
        <v>1747</v>
      </c>
      <c r="Q327" s="221">
        <v>10</v>
      </c>
      <c r="R327" s="112">
        <f t="shared" si="29"/>
        <v>60.292750000000005</v>
      </c>
      <c r="S327" s="223">
        <f t="shared" si="33"/>
        <v>7235.130000000001</v>
      </c>
      <c r="T327" s="223">
        <f t="shared" si="30"/>
        <v>0.99999999999909051</v>
      </c>
      <c r="U327" s="221">
        <v>2983</v>
      </c>
      <c r="V327" s="233"/>
      <c r="W327" s="223"/>
      <c r="X327" s="196">
        <f t="shared" ref="X327:X390" si="35">IF((DATEDIF(G327,X$4,"m"))&gt;=120,120,(DATEDIF(G327,X$4,"m")))</f>
        <v>120</v>
      </c>
    </row>
    <row r="328" spans="1:24" s="221" customFormat="1">
      <c r="A328" s="226" t="s">
        <v>1855</v>
      </c>
      <c r="B328" s="226" t="s">
        <v>1817</v>
      </c>
      <c r="C328" s="226"/>
      <c r="D328" s="226">
        <v>2269</v>
      </c>
      <c r="E328" s="226"/>
      <c r="F328" s="226" t="s">
        <v>1815</v>
      </c>
      <c r="G328" s="220" t="str">
        <f t="shared" si="34"/>
        <v>19/1/2004</v>
      </c>
      <c r="H328" s="242">
        <v>19</v>
      </c>
      <c r="I328" s="242">
        <v>1</v>
      </c>
      <c r="J328" s="225">
        <v>2004</v>
      </c>
      <c r="K328" s="226" t="s">
        <v>30</v>
      </c>
      <c r="L328" s="226" t="s">
        <v>1814</v>
      </c>
      <c r="M328" s="226" t="s">
        <v>869</v>
      </c>
      <c r="N328" s="230">
        <v>7236.13</v>
      </c>
      <c r="O328" s="230" t="s">
        <v>1854</v>
      </c>
      <c r="Q328" s="221">
        <v>10</v>
      </c>
      <c r="R328" s="112">
        <f t="shared" si="29"/>
        <v>60.292750000000005</v>
      </c>
      <c r="S328" s="223">
        <f t="shared" si="33"/>
        <v>7235.130000000001</v>
      </c>
      <c r="T328" s="223">
        <f t="shared" si="30"/>
        <v>0.99999999999909051</v>
      </c>
      <c r="U328" s="221">
        <v>2983</v>
      </c>
      <c r="V328" s="233"/>
      <c r="W328" s="223"/>
      <c r="X328" s="196">
        <f t="shared" si="35"/>
        <v>120</v>
      </c>
    </row>
    <row r="329" spans="1:24" s="221" customFormat="1">
      <c r="A329" s="226" t="s">
        <v>1853</v>
      </c>
      <c r="B329" s="226" t="s">
        <v>1817</v>
      </c>
      <c r="C329" s="226"/>
      <c r="D329" s="226">
        <v>2269</v>
      </c>
      <c r="E329" s="226"/>
      <c r="F329" s="226" t="s">
        <v>1815</v>
      </c>
      <c r="G329" s="220" t="str">
        <f t="shared" si="34"/>
        <v>19/1/2004</v>
      </c>
      <c r="H329" s="242">
        <v>19</v>
      </c>
      <c r="I329" s="242">
        <v>1</v>
      </c>
      <c r="J329" s="225">
        <v>2004</v>
      </c>
      <c r="K329" s="226" t="s">
        <v>30</v>
      </c>
      <c r="L329" s="226" t="s">
        <v>1814</v>
      </c>
      <c r="M329" s="226" t="s">
        <v>869</v>
      </c>
      <c r="N329" s="230">
        <v>7236.13</v>
      </c>
      <c r="O329" s="230"/>
      <c r="Q329" s="221">
        <v>10</v>
      </c>
      <c r="R329" s="112">
        <f t="shared" ref="R329:R392" si="36">(((N329)-1)/10)/12</f>
        <v>60.292750000000005</v>
      </c>
      <c r="S329" s="223">
        <f t="shared" si="33"/>
        <v>7235.130000000001</v>
      </c>
      <c r="T329" s="223">
        <f t="shared" si="30"/>
        <v>0.99999999999909051</v>
      </c>
      <c r="U329" s="221">
        <v>2983</v>
      </c>
      <c r="V329" s="233"/>
      <c r="W329" s="223"/>
      <c r="X329" s="196">
        <f t="shared" si="35"/>
        <v>120</v>
      </c>
    </row>
    <row r="330" spans="1:24" s="221" customFormat="1">
      <c r="A330" s="226" t="s">
        <v>1852</v>
      </c>
      <c r="B330" s="226" t="s">
        <v>1817</v>
      </c>
      <c r="C330" s="226"/>
      <c r="D330" s="226">
        <v>2269</v>
      </c>
      <c r="E330" s="226"/>
      <c r="F330" s="226" t="s">
        <v>1815</v>
      </c>
      <c r="G330" s="220" t="str">
        <f t="shared" si="34"/>
        <v>19/1/2004</v>
      </c>
      <c r="H330" s="242">
        <v>19</v>
      </c>
      <c r="I330" s="242">
        <v>1</v>
      </c>
      <c r="J330" s="225">
        <v>2004</v>
      </c>
      <c r="K330" s="226" t="s">
        <v>30</v>
      </c>
      <c r="L330" s="226" t="s">
        <v>1814</v>
      </c>
      <c r="M330" s="226" t="s">
        <v>869</v>
      </c>
      <c r="N330" s="230">
        <v>7236.13</v>
      </c>
      <c r="O330" s="230"/>
      <c r="Q330" s="221">
        <v>10</v>
      </c>
      <c r="R330" s="112">
        <f t="shared" si="36"/>
        <v>60.292750000000005</v>
      </c>
      <c r="S330" s="223">
        <f t="shared" si="33"/>
        <v>7235.130000000001</v>
      </c>
      <c r="T330" s="223">
        <f t="shared" ref="T330:T393" si="37">N330-S330</f>
        <v>0.99999999999909051</v>
      </c>
      <c r="U330" s="221">
        <v>2983</v>
      </c>
      <c r="V330" s="233"/>
      <c r="W330" s="223"/>
      <c r="X330" s="196">
        <f t="shared" si="35"/>
        <v>120</v>
      </c>
    </row>
    <row r="331" spans="1:24" s="221" customFormat="1">
      <c r="A331" s="226" t="s">
        <v>1851</v>
      </c>
      <c r="B331" s="226" t="s">
        <v>1817</v>
      </c>
      <c r="C331" s="226"/>
      <c r="D331" s="226">
        <v>2269</v>
      </c>
      <c r="E331" s="226"/>
      <c r="F331" s="226" t="s">
        <v>1815</v>
      </c>
      <c r="G331" s="220" t="str">
        <f t="shared" si="34"/>
        <v>19/1/2004</v>
      </c>
      <c r="H331" s="242">
        <v>19</v>
      </c>
      <c r="I331" s="242">
        <v>1</v>
      </c>
      <c r="J331" s="225">
        <v>2004</v>
      </c>
      <c r="K331" s="226" t="s">
        <v>30</v>
      </c>
      <c r="L331" s="226" t="s">
        <v>1814</v>
      </c>
      <c r="M331" s="226" t="s">
        <v>869</v>
      </c>
      <c r="N331" s="230">
        <v>7236.13</v>
      </c>
      <c r="O331" s="230"/>
      <c r="Q331" s="221">
        <v>10</v>
      </c>
      <c r="R331" s="112">
        <f t="shared" si="36"/>
        <v>60.292750000000005</v>
      </c>
      <c r="S331" s="223">
        <f t="shared" si="33"/>
        <v>7235.130000000001</v>
      </c>
      <c r="T331" s="223">
        <f t="shared" si="37"/>
        <v>0.99999999999909051</v>
      </c>
      <c r="U331" s="221">
        <v>2983</v>
      </c>
      <c r="V331" s="233"/>
      <c r="W331" s="223"/>
      <c r="X331" s="196">
        <f t="shared" si="35"/>
        <v>120</v>
      </c>
    </row>
    <row r="332" spans="1:24" s="221" customFormat="1">
      <c r="A332" s="226" t="s">
        <v>1850</v>
      </c>
      <c r="B332" s="226" t="s">
        <v>1817</v>
      </c>
      <c r="C332" s="226"/>
      <c r="D332" s="226">
        <v>2269</v>
      </c>
      <c r="E332" s="226"/>
      <c r="F332" s="226" t="s">
        <v>1815</v>
      </c>
      <c r="G332" s="220" t="str">
        <f t="shared" si="34"/>
        <v>19/1/2004</v>
      </c>
      <c r="H332" s="242">
        <v>19</v>
      </c>
      <c r="I332" s="242">
        <v>1</v>
      </c>
      <c r="J332" s="225">
        <v>2004</v>
      </c>
      <c r="K332" s="226" t="s">
        <v>30</v>
      </c>
      <c r="L332" s="226" t="s">
        <v>1814</v>
      </c>
      <c r="M332" s="226" t="s">
        <v>869</v>
      </c>
      <c r="N332" s="230">
        <v>7236.13</v>
      </c>
      <c r="O332" s="230"/>
      <c r="Q332" s="221">
        <v>10</v>
      </c>
      <c r="R332" s="112">
        <f t="shared" si="36"/>
        <v>60.292750000000005</v>
      </c>
      <c r="S332" s="223">
        <f t="shared" si="33"/>
        <v>7235.130000000001</v>
      </c>
      <c r="T332" s="223">
        <f t="shared" si="37"/>
        <v>0.99999999999909051</v>
      </c>
      <c r="U332" s="221">
        <v>2983</v>
      </c>
      <c r="V332" s="233"/>
      <c r="W332" s="223"/>
      <c r="X332" s="196">
        <f t="shared" si="35"/>
        <v>120</v>
      </c>
    </row>
    <row r="333" spans="1:24" s="221" customFormat="1">
      <c r="A333" s="226" t="s">
        <v>1849</v>
      </c>
      <c r="B333" s="226" t="s">
        <v>1817</v>
      </c>
      <c r="C333" s="226"/>
      <c r="D333" s="226">
        <v>2269</v>
      </c>
      <c r="E333" s="226"/>
      <c r="F333" s="226" t="s">
        <v>1815</v>
      </c>
      <c r="G333" s="220" t="str">
        <f t="shared" si="34"/>
        <v>19/1/2004</v>
      </c>
      <c r="H333" s="242">
        <v>19</v>
      </c>
      <c r="I333" s="242">
        <v>1</v>
      </c>
      <c r="J333" s="225">
        <v>2004</v>
      </c>
      <c r="K333" s="226" t="s">
        <v>30</v>
      </c>
      <c r="L333" s="226" t="s">
        <v>1814</v>
      </c>
      <c r="M333" s="226" t="s">
        <v>869</v>
      </c>
      <c r="N333" s="230">
        <v>7236.13</v>
      </c>
      <c r="O333" s="230"/>
      <c r="Q333" s="221">
        <v>10</v>
      </c>
      <c r="R333" s="112">
        <f t="shared" si="36"/>
        <v>60.292750000000005</v>
      </c>
      <c r="S333" s="223">
        <f t="shared" si="33"/>
        <v>7235.130000000001</v>
      </c>
      <c r="T333" s="223">
        <f t="shared" si="37"/>
        <v>0.99999999999909051</v>
      </c>
      <c r="U333" s="221">
        <v>2983</v>
      </c>
      <c r="V333" s="233"/>
      <c r="W333" s="223"/>
      <c r="X333" s="196">
        <f t="shared" si="35"/>
        <v>120</v>
      </c>
    </row>
    <row r="334" spans="1:24" s="221" customFormat="1">
      <c r="A334" s="226" t="s">
        <v>1848</v>
      </c>
      <c r="B334" s="226" t="s">
        <v>1817</v>
      </c>
      <c r="C334" s="226"/>
      <c r="D334" s="226">
        <v>2269</v>
      </c>
      <c r="E334" s="226"/>
      <c r="F334" s="226" t="s">
        <v>1815</v>
      </c>
      <c r="G334" s="220" t="str">
        <f t="shared" si="34"/>
        <v>19/1/2004</v>
      </c>
      <c r="H334" s="242">
        <v>19</v>
      </c>
      <c r="I334" s="242">
        <v>1</v>
      </c>
      <c r="J334" s="225">
        <v>2004</v>
      </c>
      <c r="K334" s="226" t="s">
        <v>30</v>
      </c>
      <c r="L334" s="226" t="s">
        <v>1814</v>
      </c>
      <c r="M334" s="226" t="s">
        <v>869</v>
      </c>
      <c r="N334" s="230">
        <v>7236.13</v>
      </c>
      <c r="O334" s="230"/>
      <c r="Q334" s="221">
        <v>10</v>
      </c>
      <c r="R334" s="112">
        <f t="shared" si="36"/>
        <v>60.292750000000005</v>
      </c>
      <c r="S334" s="223">
        <f t="shared" si="33"/>
        <v>7235.130000000001</v>
      </c>
      <c r="T334" s="223">
        <f t="shared" si="37"/>
        <v>0.99999999999909051</v>
      </c>
      <c r="U334" s="221">
        <v>2983</v>
      </c>
      <c r="V334" s="233"/>
      <c r="W334" s="223"/>
      <c r="X334" s="196">
        <f t="shared" si="35"/>
        <v>120</v>
      </c>
    </row>
    <row r="335" spans="1:24" s="221" customFormat="1">
      <c r="A335" s="226" t="s">
        <v>1847</v>
      </c>
      <c r="B335" s="226" t="s">
        <v>1817</v>
      </c>
      <c r="C335" s="226"/>
      <c r="D335" s="226">
        <v>2269</v>
      </c>
      <c r="E335" s="226"/>
      <c r="F335" s="226" t="s">
        <v>1815</v>
      </c>
      <c r="G335" s="220" t="str">
        <f t="shared" si="34"/>
        <v>19/1/2004</v>
      </c>
      <c r="H335" s="242">
        <v>19</v>
      </c>
      <c r="I335" s="242">
        <v>1</v>
      </c>
      <c r="J335" s="225">
        <v>2004</v>
      </c>
      <c r="K335" s="226" t="s">
        <v>30</v>
      </c>
      <c r="L335" s="226" t="s">
        <v>1814</v>
      </c>
      <c r="M335" s="226" t="s">
        <v>869</v>
      </c>
      <c r="N335" s="230">
        <v>7236.13</v>
      </c>
      <c r="O335" s="230"/>
      <c r="Q335" s="221">
        <v>10</v>
      </c>
      <c r="R335" s="112">
        <f t="shared" si="36"/>
        <v>60.292750000000005</v>
      </c>
      <c r="S335" s="223">
        <f t="shared" si="33"/>
        <v>7235.130000000001</v>
      </c>
      <c r="T335" s="223">
        <f t="shared" si="37"/>
        <v>0.99999999999909051</v>
      </c>
      <c r="U335" s="221">
        <v>2983</v>
      </c>
      <c r="V335" s="233"/>
      <c r="W335" s="223"/>
      <c r="X335" s="196">
        <f t="shared" si="35"/>
        <v>120</v>
      </c>
    </row>
    <row r="336" spans="1:24" s="221" customFormat="1">
      <c r="A336" s="226" t="s">
        <v>1846</v>
      </c>
      <c r="B336" s="226" t="s">
        <v>1817</v>
      </c>
      <c r="C336" s="226"/>
      <c r="D336" s="226">
        <v>2269</v>
      </c>
      <c r="E336" s="226"/>
      <c r="F336" s="226" t="s">
        <v>1815</v>
      </c>
      <c r="G336" s="220" t="str">
        <f t="shared" si="34"/>
        <v>19/1/2004</v>
      </c>
      <c r="H336" s="242">
        <v>19</v>
      </c>
      <c r="I336" s="242">
        <v>1</v>
      </c>
      <c r="J336" s="225">
        <v>2004</v>
      </c>
      <c r="K336" s="226" t="s">
        <v>30</v>
      </c>
      <c r="L336" s="226" t="s">
        <v>1814</v>
      </c>
      <c r="M336" s="226" t="s">
        <v>869</v>
      </c>
      <c r="N336" s="230">
        <v>7236.13</v>
      </c>
      <c r="O336" s="230"/>
      <c r="Q336" s="221">
        <v>10</v>
      </c>
      <c r="R336" s="112">
        <f t="shared" si="36"/>
        <v>60.292750000000005</v>
      </c>
      <c r="S336" s="223">
        <f t="shared" si="33"/>
        <v>7235.130000000001</v>
      </c>
      <c r="T336" s="223">
        <f t="shared" si="37"/>
        <v>0.99999999999909051</v>
      </c>
      <c r="U336" s="221">
        <v>2983</v>
      </c>
      <c r="V336" s="233"/>
      <c r="W336" s="223"/>
      <c r="X336" s="196">
        <f t="shared" si="35"/>
        <v>120</v>
      </c>
    </row>
    <row r="337" spans="1:24" s="221" customFormat="1">
      <c r="A337" s="226" t="s">
        <v>1845</v>
      </c>
      <c r="B337" s="226" t="s">
        <v>1817</v>
      </c>
      <c r="C337" s="226"/>
      <c r="D337" s="226">
        <v>2269</v>
      </c>
      <c r="E337" s="226"/>
      <c r="F337" s="226" t="s">
        <v>1815</v>
      </c>
      <c r="G337" s="220" t="str">
        <f t="shared" si="34"/>
        <v>19/1/2004</v>
      </c>
      <c r="H337" s="242">
        <v>19</v>
      </c>
      <c r="I337" s="242">
        <v>1</v>
      </c>
      <c r="J337" s="225">
        <v>2004</v>
      </c>
      <c r="K337" s="226" t="s">
        <v>30</v>
      </c>
      <c r="L337" s="226" t="s">
        <v>1814</v>
      </c>
      <c r="M337" s="226" t="s">
        <v>869</v>
      </c>
      <c r="N337" s="230">
        <v>7236.13</v>
      </c>
      <c r="O337" s="230"/>
      <c r="Q337" s="221">
        <v>10</v>
      </c>
      <c r="R337" s="112">
        <f t="shared" si="36"/>
        <v>60.292750000000005</v>
      </c>
      <c r="S337" s="223">
        <f t="shared" si="33"/>
        <v>7235.130000000001</v>
      </c>
      <c r="T337" s="223">
        <f t="shared" si="37"/>
        <v>0.99999999999909051</v>
      </c>
      <c r="U337" s="221">
        <v>2983</v>
      </c>
      <c r="V337" s="233"/>
      <c r="W337" s="223"/>
      <c r="X337" s="196">
        <f t="shared" si="35"/>
        <v>120</v>
      </c>
    </row>
    <row r="338" spans="1:24" s="221" customFormat="1">
      <c r="A338" s="226" t="s">
        <v>1844</v>
      </c>
      <c r="B338" s="226" t="s">
        <v>1817</v>
      </c>
      <c r="C338" s="226"/>
      <c r="D338" s="226">
        <v>2269</v>
      </c>
      <c r="E338" s="226"/>
      <c r="F338" s="226" t="s">
        <v>1815</v>
      </c>
      <c r="G338" s="220" t="str">
        <f t="shared" si="34"/>
        <v>19/1/2004</v>
      </c>
      <c r="H338" s="242">
        <v>19</v>
      </c>
      <c r="I338" s="242">
        <v>1</v>
      </c>
      <c r="J338" s="225">
        <v>2004</v>
      </c>
      <c r="K338" s="226" t="s">
        <v>30</v>
      </c>
      <c r="L338" s="226" t="s">
        <v>1814</v>
      </c>
      <c r="M338" s="226" t="s">
        <v>869</v>
      </c>
      <c r="N338" s="230">
        <v>7236.13</v>
      </c>
      <c r="O338" s="230" t="s">
        <v>593</v>
      </c>
      <c r="Q338" s="221">
        <v>10</v>
      </c>
      <c r="R338" s="112">
        <f t="shared" si="36"/>
        <v>60.292750000000005</v>
      </c>
      <c r="S338" s="223">
        <f t="shared" si="33"/>
        <v>7235.130000000001</v>
      </c>
      <c r="T338" s="223">
        <f t="shared" si="37"/>
        <v>0.99999999999909051</v>
      </c>
      <c r="U338" s="221">
        <v>2983</v>
      </c>
      <c r="V338" s="233"/>
      <c r="W338" s="223"/>
      <c r="X338" s="196">
        <f t="shared" si="35"/>
        <v>120</v>
      </c>
    </row>
    <row r="339" spans="1:24" s="221" customFormat="1">
      <c r="A339" s="226" t="s">
        <v>1843</v>
      </c>
      <c r="B339" s="226" t="s">
        <v>1817</v>
      </c>
      <c r="C339" s="226"/>
      <c r="D339" s="226">
        <v>2269</v>
      </c>
      <c r="E339" s="226"/>
      <c r="F339" s="226" t="s">
        <v>1815</v>
      </c>
      <c r="G339" s="220" t="str">
        <f t="shared" si="34"/>
        <v>19/1/2004</v>
      </c>
      <c r="H339" s="242">
        <v>19</v>
      </c>
      <c r="I339" s="242">
        <v>1</v>
      </c>
      <c r="J339" s="225">
        <v>2004</v>
      </c>
      <c r="K339" s="226" t="s">
        <v>30</v>
      </c>
      <c r="L339" s="226" t="s">
        <v>1814</v>
      </c>
      <c r="M339" s="226" t="s">
        <v>869</v>
      </c>
      <c r="N339" s="230">
        <v>7236.13</v>
      </c>
      <c r="O339" s="230"/>
      <c r="Q339" s="221">
        <v>10</v>
      </c>
      <c r="R339" s="112">
        <f t="shared" si="36"/>
        <v>60.292750000000005</v>
      </c>
      <c r="S339" s="223">
        <f t="shared" si="33"/>
        <v>7235.130000000001</v>
      </c>
      <c r="T339" s="223">
        <f t="shared" si="37"/>
        <v>0.99999999999909051</v>
      </c>
      <c r="U339" s="221">
        <v>2983</v>
      </c>
      <c r="V339" s="233"/>
      <c r="W339" s="223"/>
      <c r="X339" s="196">
        <f t="shared" si="35"/>
        <v>120</v>
      </c>
    </row>
    <row r="340" spans="1:24" s="221" customFormat="1">
      <c r="A340" s="226" t="s">
        <v>1842</v>
      </c>
      <c r="B340" s="226" t="s">
        <v>1817</v>
      </c>
      <c r="C340" s="226"/>
      <c r="D340" s="226">
        <v>2269</v>
      </c>
      <c r="E340" s="226"/>
      <c r="F340" s="226" t="s">
        <v>1815</v>
      </c>
      <c r="G340" s="220" t="str">
        <f t="shared" si="34"/>
        <v>19/1/2004</v>
      </c>
      <c r="H340" s="242">
        <v>19</v>
      </c>
      <c r="I340" s="242">
        <v>1</v>
      </c>
      <c r="J340" s="225">
        <v>2004</v>
      </c>
      <c r="K340" s="226" t="s">
        <v>30</v>
      </c>
      <c r="L340" s="226" t="s">
        <v>1814</v>
      </c>
      <c r="M340" s="226" t="s">
        <v>869</v>
      </c>
      <c r="N340" s="230">
        <v>7236.13</v>
      </c>
      <c r="O340" s="230" t="s">
        <v>593</v>
      </c>
      <c r="Q340" s="221">
        <v>10</v>
      </c>
      <c r="R340" s="112">
        <f t="shared" si="36"/>
        <v>60.292750000000005</v>
      </c>
      <c r="S340" s="223">
        <f t="shared" si="33"/>
        <v>7235.130000000001</v>
      </c>
      <c r="T340" s="223">
        <f t="shared" si="37"/>
        <v>0.99999999999909051</v>
      </c>
      <c r="U340" s="221">
        <v>2983</v>
      </c>
      <c r="V340" s="233"/>
      <c r="W340" s="223"/>
      <c r="X340" s="196">
        <f t="shared" si="35"/>
        <v>120</v>
      </c>
    </row>
    <row r="341" spans="1:24" s="221" customFormat="1">
      <c r="A341" s="226" t="s">
        <v>1841</v>
      </c>
      <c r="B341" s="226" t="s">
        <v>1817</v>
      </c>
      <c r="C341" s="226"/>
      <c r="D341" s="226">
        <v>2269</v>
      </c>
      <c r="E341" s="226"/>
      <c r="F341" s="226" t="s">
        <v>1815</v>
      </c>
      <c r="G341" s="220" t="str">
        <f t="shared" si="34"/>
        <v>19/1/2004</v>
      </c>
      <c r="H341" s="242">
        <v>19</v>
      </c>
      <c r="I341" s="242">
        <v>1</v>
      </c>
      <c r="J341" s="225">
        <v>2004</v>
      </c>
      <c r="K341" s="226" t="s">
        <v>30</v>
      </c>
      <c r="L341" s="226" t="s">
        <v>1814</v>
      </c>
      <c r="M341" s="226" t="s">
        <v>869</v>
      </c>
      <c r="N341" s="230">
        <v>7236.13</v>
      </c>
      <c r="O341" s="230"/>
      <c r="Q341" s="221">
        <v>10</v>
      </c>
      <c r="R341" s="112">
        <f t="shared" si="36"/>
        <v>60.292750000000005</v>
      </c>
      <c r="S341" s="223">
        <f t="shared" si="33"/>
        <v>7235.130000000001</v>
      </c>
      <c r="T341" s="223">
        <f t="shared" si="37"/>
        <v>0.99999999999909051</v>
      </c>
      <c r="U341" s="221">
        <v>2983</v>
      </c>
      <c r="V341" s="233"/>
      <c r="W341" s="223"/>
      <c r="X341" s="196">
        <f t="shared" si="35"/>
        <v>120</v>
      </c>
    </row>
    <row r="342" spans="1:24" s="221" customFormat="1">
      <c r="A342" s="226" t="s">
        <v>1840</v>
      </c>
      <c r="B342" s="226" t="s">
        <v>1817</v>
      </c>
      <c r="C342" s="226"/>
      <c r="D342" s="226">
        <v>2269</v>
      </c>
      <c r="E342" s="226"/>
      <c r="F342" s="226" t="s">
        <v>1815</v>
      </c>
      <c r="G342" s="220" t="str">
        <f t="shared" si="34"/>
        <v>19/1/2004</v>
      </c>
      <c r="H342" s="242">
        <v>19</v>
      </c>
      <c r="I342" s="242">
        <v>1</v>
      </c>
      <c r="J342" s="225">
        <v>2004</v>
      </c>
      <c r="K342" s="226" t="s">
        <v>30</v>
      </c>
      <c r="L342" s="226" t="s">
        <v>1814</v>
      </c>
      <c r="M342" s="226" t="s">
        <v>869</v>
      </c>
      <c r="N342" s="230">
        <v>7236.13</v>
      </c>
      <c r="O342" s="230"/>
      <c r="Q342" s="221">
        <v>10</v>
      </c>
      <c r="R342" s="112">
        <f t="shared" si="36"/>
        <v>60.292750000000005</v>
      </c>
      <c r="S342" s="223">
        <f t="shared" si="33"/>
        <v>7235.130000000001</v>
      </c>
      <c r="T342" s="223">
        <f t="shared" si="37"/>
        <v>0.99999999999909051</v>
      </c>
      <c r="U342" s="221">
        <v>2983</v>
      </c>
      <c r="V342" s="233"/>
      <c r="W342" s="223"/>
      <c r="X342" s="196">
        <f t="shared" si="35"/>
        <v>120</v>
      </c>
    </row>
    <row r="343" spans="1:24" s="221" customFormat="1">
      <c r="A343" s="226" t="s">
        <v>1839</v>
      </c>
      <c r="B343" s="226" t="s">
        <v>1817</v>
      </c>
      <c r="C343" s="226"/>
      <c r="D343" s="226">
        <v>2269</v>
      </c>
      <c r="E343" s="226"/>
      <c r="F343" s="226" t="s">
        <v>1815</v>
      </c>
      <c r="G343" s="220" t="str">
        <f t="shared" si="34"/>
        <v>19/1/2004</v>
      </c>
      <c r="H343" s="242">
        <v>19</v>
      </c>
      <c r="I343" s="242">
        <v>1</v>
      </c>
      <c r="J343" s="225">
        <v>2004</v>
      </c>
      <c r="K343" s="226" t="s">
        <v>30</v>
      </c>
      <c r="L343" s="226" t="s">
        <v>1814</v>
      </c>
      <c r="M343" s="226" t="s">
        <v>869</v>
      </c>
      <c r="N343" s="230">
        <v>7236.13</v>
      </c>
      <c r="O343" s="230"/>
      <c r="Q343" s="221">
        <v>10</v>
      </c>
      <c r="R343" s="112">
        <f t="shared" si="36"/>
        <v>60.292750000000005</v>
      </c>
      <c r="S343" s="223">
        <f t="shared" si="33"/>
        <v>7235.130000000001</v>
      </c>
      <c r="T343" s="223">
        <f t="shared" si="37"/>
        <v>0.99999999999909051</v>
      </c>
      <c r="U343" s="221">
        <v>2983</v>
      </c>
      <c r="V343" s="233"/>
      <c r="W343" s="223"/>
      <c r="X343" s="196">
        <f t="shared" si="35"/>
        <v>120</v>
      </c>
    </row>
    <row r="344" spans="1:24" s="221" customFormat="1">
      <c r="A344" s="226" t="s">
        <v>1838</v>
      </c>
      <c r="B344" s="226" t="s">
        <v>1817</v>
      </c>
      <c r="C344" s="226"/>
      <c r="D344" s="226">
        <v>2269</v>
      </c>
      <c r="E344" s="226"/>
      <c r="F344" s="226" t="s">
        <v>1815</v>
      </c>
      <c r="G344" s="220" t="str">
        <f t="shared" si="34"/>
        <v>19/1/2004</v>
      </c>
      <c r="H344" s="242">
        <v>19</v>
      </c>
      <c r="I344" s="242">
        <v>1</v>
      </c>
      <c r="J344" s="225">
        <v>2004</v>
      </c>
      <c r="K344" s="226" t="s">
        <v>30</v>
      </c>
      <c r="L344" s="226" t="s">
        <v>1814</v>
      </c>
      <c r="M344" s="226" t="s">
        <v>869</v>
      </c>
      <c r="N344" s="230">
        <v>7236.13</v>
      </c>
      <c r="O344" s="230"/>
      <c r="Q344" s="221">
        <v>10</v>
      </c>
      <c r="R344" s="112">
        <f t="shared" si="36"/>
        <v>60.292750000000005</v>
      </c>
      <c r="S344" s="223">
        <f t="shared" si="33"/>
        <v>7235.130000000001</v>
      </c>
      <c r="T344" s="223">
        <f t="shared" si="37"/>
        <v>0.99999999999909051</v>
      </c>
      <c r="U344" s="221">
        <v>2983</v>
      </c>
      <c r="V344" s="233"/>
      <c r="W344" s="223"/>
      <c r="X344" s="196">
        <f t="shared" si="35"/>
        <v>120</v>
      </c>
    </row>
    <row r="345" spans="1:24" s="221" customFormat="1">
      <c r="A345" s="226" t="s">
        <v>1837</v>
      </c>
      <c r="B345" s="226" t="s">
        <v>1817</v>
      </c>
      <c r="C345" s="226"/>
      <c r="D345" s="226">
        <v>2269</v>
      </c>
      <c r="E345" s="226"/>
      <c r="F345" s="226" t="s">
        <v>1815</v>
      </c>
      <c r="G345" s="220" t="str">
        <f t="shared" si="34"/>
        <v>19/1/2004</v>
      </c>
      <c r="H345" s="242">
        <v>19</v>
      </c>
      <c r="I345" s="242">
        <v>1</v>
      </c>
      <c r="J345" s="225">
        <v>2004</v>
      </c>
      <c r="K345" s="226" t="s">
        <v>30</v>
      </c>
      <c r="L345" s="226" t="s">
        <v>1814</v>
      </c>
      <c r="M345" s="226" t="s">
        <v>869</v>
      </c>
      <c r="N345" s="230">
        <v>7236.13</v>
      </c>
      <c r="O345" s="230"/>
      <c r="Q345" s="221">
        <v>10</v>
      </c>
      <c r="R345" s="112">
        <f t="shared" si="36"/>
        <v>60.292750000000005</v>
      </c>
      <c r="S345" s="223">
        <f t="shared" si="33"/>
        <v>7235.130000000001</v>
      </c>
      <c r="T345" s="223">
        <f t="shared" si="37"/>
        <v>0.99999999999909051</v>
      </c>
      <c r="U345" s="221">
        <v>2983</v>
      </c>
      <c r="V345" s="233"/>
      <c r="W345" s="223"/>
      <c r="X345" s="196">
        <f t="shared" si="35"/>
        <v>120</v>
      </c>
    </row>
    <row r="346" spans="1:24" s="221" customFormat="1">
      <c r="A346" s="226" t="s">
        <v>1836</v>
      </c>
      <c r="B346" s="226" t="s">
        <v>1817</v>
      </c>
      <c r="C346" s="226"/>
      <c r="D346" s="226">
        <v>2269</v>
      </c>
      <c r="E346" s="226"/>
      <c r="F346" s="226" t="s">
        <v>1815</v>
      </c>
      <c r="G346" s="220" t="str">
        <f t="shared" si="34"/>
        <v>19/1/2004</v>
      </c>
      <c r="H346" s="242">
        <v>19</v>
      </c>
      <c r="I346" s="242">
        <v>1</v>
      </c>
      <c r="J346" s="225">
        <v>2004</v>
      </c>
      <c r="K346" s="226" t="s">
        <v>30</v>
      </c>
      <c r="L346" s="226" t="s">
        <v>1814</v>
      </c>
      <c r="M346" s="226" t="s">
        <v>869</v>
      </c>
      <c r="N346" s="230">
        <v>7236.13</v>
      </c>
      <c r="O346" s="230" t="s">
        <v>593</v>
      </c>
      <c r="Q346" s="221">
        <v>10</v>
      </c>
      <c r="R346" s="112">
        <f t="shared" si="36"/>
        <v>60.292750000000005</v>
      </c>
      <c r="S346" s="223">
        <f t="shared" si="33"/>
        <v>7235.130000000001</v>
      </c>
      <c r="T346" s="223">
        <f t="shared" si="37"/>
        <v>0.99999999999909051</v>
      </c>
      <c r="U346" s="221">
        <v>2983</v>
      </c>
      <c r="V346" s="233"/>
      <c r="W346" s="223"/>
      <c r="X346" s="196">
        <f t="shared" si="35"/>
        <v>120</v>
      </c>
    </row>
    <row r="347" spans="1:24" s="221" customFormat="1">
      <c r="A347" s="226" t="s">
        <v>1835</v>
      </c>
      <c r="B347" s="226" t="s">
        <v>1817</v>
      </c>
      <c r="C347" s="226"/>
      <c r="D347" s="226">
        <v>2269</v>
      </c>
      <c r="E347" s="226"/>
      <c r="F347" s="226" t="s">
        <v>1815</v>
      </c>
      <c r="G347" s="220" t="str">
        <f t="shared" si="34"/>
        <v>19/1/2004</v>
      </c>
      <c r="H347" s="242">
        <v>19</v>
      </c>
      <c r="I347" s="242">
        <v>1</v>
      </c>
      <c r="J347" s="225">
        <v>2004</v>
      </c>
      <c r="K347" s="226" t="s">
        <v>30</v>
      </c>
      <c r="L347" s="226" t="s">
        <v>1814</v>
      </c>
      <c r="M347" s="226" t="s">
        <v>869</v>
      </c>
      <c r="N347" s="230">
        <v>7236.13</v>
      </c>
      <c r="O347" s="230"/>
      <c r="Q347" s="221">
        <v>10</v>
      </c>
      <c r="R347" s="112">
        <f t="shared" si="36"/>
        <v>60.292750000000005</v>
      </c>
      <c r="S347" s="223">
        <f t="shared" si="33"/>
        <v>7235.130000000001</v>
      </c>
      <c r="T347" s="223">
        <f t="shared" si="37"/>
        <v>0.99999999999909051</v>
      </c>
      <c r="U347" s="221">
        <v>2983</v>
      </c>
      <c r="V347" s="233"/>
      <c r="W347" s="223"/>
      <c r="X347" s="196">
        <f t="shared" si="35"/>
        <v>120</v>
      </c>
    </row>
    <row r="348" spans="1:24" s="221" customFormat="1">
      <c r="A348" s="226" t="s">
        <v>1834</v>
      </c>
      <c r="B348" s="226" t="s">
        <v>1817</v>
      </c>
      <c r="C348" s="226"/>
      <c r="D348" s="226">
        <v>2269</v>
      </c>
      <c r="E348" s="226"/>
      <c r="F348" s="226" t="s">
        <v>1815</v>
      </c>
      <c r="G348" s="220" t="str">
        <f t="shared" si="34"/>
        <v>19/1/2004</v>
      </c>
      <c r="H348" s="242">
        <v>19</v>
      </c>
      <c r="I348" s="242">
        <v>1</v>
      </c>
      <c r="J348" s="225">
        <v>2004</v>
      </c>
      <c r="K348" s="226" t="s">
        <v>30</v>
      </c>
      <c r="L348" s="226" t="s">
        <v>1814</v>
      </c>
      <c r="M348" s="226" t="s">
        <v>869</v>
      </c>
      <c r="N348" s="230">
        <v>7236.13</v>
      </c>
      <c r="O348" s="230"/>
      <c r="Q348" s="221">
        <v>10</v>
      </c>
      <c r="R348" s="112">
        <f t="shared" si="36"/>
        <v>60.292750000000005</v>
      </c>
      <c r="S348" s="223">
        <f t="shared" si="33"/>
        <v>7235.130000000001</v>
      </c>
      <c r="T348" s="223">
        <f t="shared" si="37"/>
        <v>0.99999999999909051</v>
      </c>
      <c r="U348" s="221">
        <v>2983</v>
      </c>
      <c r="V348" s="233"/>
      <c r="W348" s="223"/>
      <c r="X348" s="196">
        <f t="shared" si="35"/>
        <v>120</v>
      </c>
    </row>
    <row r="349" spans="1:24" s="221" customFormat="1">
      <c r="A349" s="226" t="s">
        <v>1833</v>
      </c>
      <c r="B349" s="226" t="s">
        <v>1817</v>
      </c>
      <c r="C349" s="226"/>
      <c r="D349" s="226">
        <v>2269</v>
      </c>
      <c r="E349" s="226"/>
      <c r="F349" s="226" t="s">
        <v>1815</v>
      </c>
      <c r="G349" s="220" t="str">
        <f t="shared" si="34"/>
        <v>19/1/2004</v>
      </c>
      <c r="H349" s="242">
        <v>19</v>
      </c>
      <c r="I349" s="242">
        <v>1</v>
      </c>
      <c r="J349" s="225">
        <v>2004</v>
      </c>
      <c r="K349" s="226" t="s">
        <v>30</v>
      </c>
      <c r="L349" s="226" t="s">
        <v>1814</v>
      </c>
      <c r="M349" s="226" t="s">
        <v>869</v>
      </c>
      <c r="N349" s="230">
        <v>7236.13</v>
      </c>
      <c r="O349" s="230"/>
      <c r="Q349" s="221">
        <v>10</v>
      </c>
      <c r="R349" s="112">
        <f t="shared" si="36"/>
        <v>60.292750000000005</v>
      </c>
      <c r="S349" s="223">
        <f t="shared" si="33"/>
        <v>7235.130000000001</v>
      </c>
      <c r="T349" s="223">
        <f t="shared" si="37"/>
        <v>0.99999999999909051</v>
      </c>
      <c r="U349" s="221">
        <v>2983</v>
      </c>
      <c r="V349" s="233"/>
      <c r="W349" s="223"/>
      <c r="X349" s="196">
        <f t="shared" si="35"/>
        <v>120</v>
      </c>
    </row>
    <row r="350" spans="1:24" s="221" customFormat="1">
      <c r="A350" s="226" t="s">
        <v>1832</v>
      </c>
      <c r="B350" s="226" t="s">
        <v>1817</v>
      </c>
      <c r="C350" s="226"/>
      <c r="D350" s="226">
        <v>2269</v>
      </c>
      <c r="E350" s="226"/>
      <c r="F350" s="226" t="s">
        <v>1815</v>
      </c>
      <c r="G350" s="220" t="str">
        <f t="shared" si="34"/>
        <v>19/1/2004</v>
      </c>
      <c r="H350" s="242">
        <v>19</v>
      </c>
      <c r="I350" s="242">
        <v>1</v>
      </c>
      <c r="J350" s="225">
        <v>2004</v>
      </c>
      <c r="K350" s="226" t="s">
        <v>30</v>
      </c>
      <c r="L350" s="226" t="s">
        <v>1814</v>
      </c>
      <c r="M350" s="226" t="s">
        <v>869</v>
      </c>
      <c r="N350" s="230">
        <v>7236.13</v>
      </c>
      <c r="O350" s="230"/>
      <c r="Q350" s="221">
        <v>10</v>
      </c>
      <c r="R350" s="112">
        <f t="shared" si="36"/>
        <v>60.292750000000005</v>
      </c>
      <c r="S350" s="223">
        <f t="shared" si="33"/>
        <v>7235.130000000001</v>
      </c>
      <c r="T350" s="223">
        <f t="shared" si="37"/>
        <v>0.99999999999909051</v>
      </c>
      <c r="U350" s="221">
        <v>2983</v>
      </c>
      <c r="V350" s="233"/>
      <c r="W350" s="223"/>
      <c r="X350" s="196">
        <f t="shared" si="35"/>
        <v>120</v>
      </c>
    </row>
    <row r="351" spans="1:24" s="221" customFormat="1">
      <c r="A351" s="226" t="s">
        <v>1831</v>
      </c>
      <c r="B351" s="226" t="s">
        <v>1817</v>
      </c>
      <c r="C351" s="226"/>
      <c r="D351" s="226">
        <v>2269</v>
      </c>
      <c r="E351" s="226"/>
      <c r="F351" s="226" t="s">
        <v>1815</v>
      </c>
      <c r="G351" s="220" t="str">
        <f t="shared" si="34"/>
        <v>19/1/2004</v>
      </c>
      <c r="H351" s="242">
        <v>19</v>
      </c>
      <c r="I351" s="242">
        <v>1</v>
      </c>
      <c r="J351" s="225">
        <v>2004</v>
      </c>
      <c r="K351" s="226" t="s">
        <v>30</v>
      </c>
      <c r="L351" s="226" t="s">
        <v>1814</v>
      </c>
      <c r="M351" s="226" t="s">
        <v>869</v>
      </c>
      <c r="N351" s="230">
        <v>7236.13</v>
      </c>
      <c r="O351" s="230"/>
      <c r="Q351" s="221">
        <v>10</v>
      </c>
      <c r="R351" s="112">
        <f t="shared" si="36"/>
        <v>60.292750000000005</v>
      </c>
      <c r="S351" s="223">
        <f t="shared" si="33"/>
        <v>7235.130000000001</v>
      </c>
      <c r="T351" s="223">
        <f t="shared" si="37"/>
        <v>0.99999999999909051</v>
      </c>
      <c r="U351" s="221">
        <v>2983</v>
      </c>
      <c r="V351" s="233"/>
      <c r="W351" s="223"/>
      <c r="X351" s="196">
        <f t="shared" si="35"/>
        <v>120</v>
      </c>
    </row>
    <row r="352" spans="1:24" s="221" customFormat="1">
      <c r="A352" s="226" t="s">
        <v>1830</v>
      </c>
      <c r="B352" s="226" t="s">
        <v>1817</v>
      </c>
      <c r="C352" s="226"/>
      <c r="D352" s="226">
        <v>2269</v>
      </c>
      <c r="E352" s="226"/>
      <c r="F352" s="226" t="s">
        <v>1815</v>
      </c>
      <c r="G352" s="220" t="str">
        <f t="shared" si="34"/>
        <v>19/1/2004</v>
      </c>
      <c r="H352" s="242">
        <v>19</v>
      </c>
      <c r="I352" s="242">
        <v>1</v>
      </c>
      <c r="J352" s="225">
        <v>2004</v>
      </c>
      <c r="K352" s="226" t="s">
        <v>30</v>
      </c>
      <c r="L352" s="226" t="s">
        <v>1814</v>
      </c>
      <c r="M352" s="226" t="s">
        <v>869</v>
      </c>
      <c r="N352" s="230">
        <v>7236.13</v>
      </c>
      <c r="O352" s="230"/>
      <c r="Q352" s="221">
        <v>10</v>
      </c>
      <c r="R352" s="112">
        <f t="shared" si="36"/>
        <v>60.292750000000005</v>
      </c>
      <c r="S352" s="223">
        <f t="shared" si="33"/>
        <v>7235.130000000001</v>
      </c>
      <c r="T352" s="223">
        <f t="shared" si="37"/>
        <v>0.99999999999909051</v>
      </c>
      <c r="U352" s="221">
        <v>2983</v>
      </c>
      <c r="V352" s="233"/>
      <c r="W352" s="223"/>
      <c r="X352" s="196">
        <f t="shared" si="35"/>
        <v>120</v>
      </c>
    </row>
    <row r="353" spans="1:24" s="221" customFormat="1">
      <c r="A353" s="226" t="s">
        <v>1829</v>
      </c>
      <c r="B353" s="226" t="s">
        <v>1817</v>
      </c>
      <c r="C353" s="226"/>
      <c r="D353" s="226">
        <v>2269</v>
      </c>
      <c r="E353" s="226"/>
      <c r="F353" s="226" t="s">
        <v>1815</v>
      </c>
      <c r="G353" s="220" t="str">
        <f t="shared" si="34"/>
        <v>19/1/2004</v>
      </c>
      <c r="H353" s="242">
        <v>19</v>
      </c>
      <c r="I353" s="242">
        <v>1</v>
      </c>
      <c r="J353" s="225">
        <v>2004</v>
      </c>
      <c r="K353" s="226" t="s">
        <v>30</v>
      </c>
      <c r="L353" s="226" t="s">
        <v>1814</v>
      </c>
      <c r="M353" s="226" t="s">
        <v>869</v>
      </c>
      <c r="N353" s="230">
        <v>7236.13</v>
      </c>
      <c r="O353" s="230"/>
      <c r="Q353" s="221">
        <v>10</v>
      </c>
      <c r="R353" s="112">
        <f t="shared" si="36"/>
        <v>60.292750000000005</v>
      </c>
      <c r="S353" s="223">
        <f t="shared" si="33"/>
        <v>7235.130000000001</v>
      </c>
      <c r="T353" s="223">
        <f t="shared" si="37"/>
        <v>0.99999999999909051</v>
      </c>
      <c r="U353" s="221">
        <v>2983</v>
      </c>
      <c r="V353" s="233"/>
      <c r="W353" s="223"/>
      <c r="X353" s="196">
        <f t="shared" si="35"/>
        <v>120</v>
      </c>
    </row>
    <row r="354" spans="1:24" s="221" customFormat="1">
      <c r="A354" s="226" t="s">
        <v>1828</v>
      </c>
      <c r="B354" s="226" t="s">
        <v>1817</v>
      </c>
      <c r="C354" s="226"/>
      <c r="D354" s="226">
        <v>2269</v>
      </c>
      <c r="E354" s="226"/>
      <c r="F354" s="226" t="s">
        <v>1815</v>
      </c>
      <c r="G354" s="220" t="str">
        <f t="shared" si="34"/>
        <v>19/1/2004</v>
      </c>
      <c r="H354" s="242">
        <v>19</v>
      </c>
      <c r="I354" s="242">
        <v>1</v>
      </c>
      <c r="J354" s="225">
        <v>2004</v>
      </c>
      <c r="K354" s="226" t="s">
        <v>30</v>
      </c>
      <c r="L354" s="226" t="s">
        <v>1814</v>
      </c>
      <c r="M354" s="226" t="s">
        <v>869</v>
      </c>
      <c r="N354" s="230">
        <v>7236.13</v>
      </c>
      <c r="O354" s="230"/>
      <c r="Q354" s="221">
        <v>10</v>
      </c>
      <c r="R354" s="112">
        <f t="shared" si="36"/>
        <v>60.292750000000005</v>
      </c>
      <c r="S354" s="223">
        <f t="shared" si="33"/>
        <v>7235.130000000001</v>
      </c>
      <c r="T354" s="223">
        <f t="shared" si="37"/>
        <v>0.99999999999909051</v>
      </c>
      <c r="U354" s="221">
        <v>2983</v>
      </c>
      <c r="V354" s="233"/>
      <c r="W354" s="223"/>
      <c r="X354" s="196">
        <f t="shared" si="35"/>
        <v>120</v>
      </c>
    </row>
    <row r="355" spans="1:24" s="221" customFormat="1">
      <c r="A355" s="226" t="s">
        <v>1827</v>
      </c>
      <c r="B355" s="226" t="s">
        <v>1817</v>
      </c>
      <c r="C355" s="226"/>
      <c r="D355" s="226">
        <v>2269</v>
      </c>
      <c r="E355" s="226"/>
      <c r="F355" s="226" t="s">
        <v>1815</v>
      </c>
      <c r="G355" s="220" t="str">
        <f t="shared" si="34"/>
        <v>19/1/2004</v>
      </c>
      <c r="H355" s="242">
        <v>19</v>
      </c>
      <c r="I355" s="242">
        <v>1</v>
      </c>
      <c r="J355" s="225">
        <v>2004</v>
      </c>
      <c r="K355" s="226" t="s">
        <v>30</v>
      </c>
      <c r="L355" s="226" t="s">
        <v>1814</v>
      </c>
      <c r="M355" s="226" t="s">
        <v>869</v>
      </c>
      <c r="N355" s="230">
        <v>7236.13</v>
      </c>
      <c r="O355" s="230" t="s">
        <v>593</v>
      </c>
      <c r="Q355" s="221">
        <v>10</v>
      </c>
      <c r="R355" s="112">
        <f t="shared" si="36"/>
        <v>60.292750000000005</v>
      </c>
      <c r="S355" s="223">
        <f t="shared" si="33"/>
        <v>7235.130000000001</v>
      </c>
      <c r="T355" s="223">
        <f t="shared" si="37"/>
        <v>0.99999999999909051</v>
      </c>
      <c r="U355" s="221">
        <v>2983</v>
      </c>
      <c r="V355" s="233"/>
      <c r="W355" s="223"/>
      <c r="X355" s="196">
        <f t="shared" si="35"/>
        <v>120</v>
      </c>
    </row>
    <row r="356" spans="1:24" s="221" customFormat="1">
      <c r="A356" s="226" t="s">
        <v>1826</v>
      </c>
      <c r="B356" s="226" t="s">
        <v>1817</v>
      </c>
      <c r="C356" s="226"/>
      <c r="D356" s="226">
        <v>2269</v>
      </c>
      <c r="E356" s="226"/>
      <c r="F356" s="226" t="s">
        <v>1815</v>
      </c>
      <c r="G356" s="220" t="str">
        <f t="shared" si="34"/>
        <v>19/1/2004</v>
      </c>
      <c r="H356" s="242">
        <v>19</v>
      </c>
      <c r="I356" s="242">
        <v>1</v>
      </c>
      <c r="J356" s="225">
        <v>2004</v>
      </c>
      <c r="K356" s="226" t="s">
        <v>30</v>
      </c>
      <c r="L356" s="226" t="s">
        <v>1814</v>
      </c>
      <c r="M356" s="226" t="s">
        <v>869</v>
      </c>
      <c r="N356" s="230">
        <v>7236.13</v>
      </c>
      <c r="O356" s="230"/>
      <c r="Q356" s="221">
        <v>10</v>
      </c>
      <c r="R356" s="112">
        <f t="shared" si="36"/>
        <v>60.292750000000005</v>
      </c>
      <c r="S356" s="223">
        <f t="shared" si="33"/>
        <v>7235.130000000001</v>
      </c>
      <c r="T356" s="223">
        <f t="shared" si="37"/>
        <v>0.99999999999909051</v>
      </c>
      <c r="U356" s="221">
        <v>2983</v>
      </c>
      <c r="V356" s="233"/>
      <c r="W356" s="223"/>
      <c r="X356" s="196">
        <f t="shared" si="35"/>
        <v>120</v>
      </c>
    </row>
    <row r="357" spans="1:24" s="221" customFormat="1">
      <c r="A357" s="226" t="s">
        <v>1825</v>
      </c>
      <c r="B357" s="226" t="s">
        <v>1817</v>
      </c>
      <c r="C357" s="226"/>
      <c r="D357" s="226">
        <v>2269</v>
      </c>
      <c r="E357" s="226"/>
      <c r="F357" s="226" t="s">
        <v>1815</v>
      </c>
      <c r="G357" s="220" t="str">
        <f t="shared" si="34"/>
        <v>19/1/2004</v>
      </c>
      <c r="H357" s="242">
        <v>19</v>
      </c>
      <c r="I357" s="242">
        <v>1</v>
      </c>
      <c r="J357" s="225">
        <v>2004</v>
      </c>
      <c r="K357" s="226" t="s">
        <v>30</v>
      </c>
      <c r="L357" s="226" t="s">
        <v>1814</v>
      </c>
      <c r="M357" s="226" t="s">
        <v>869</v>
      </c>
      <c r="N357" s="230">
        <v>7236.13</v>
      </c>
      <c r="O357" s="230"/>
      <c r="Q357" s="221">
        <v>10</v>
      </c>
      <c r="R357" s="112">
        <f t="shared" si="36"/>
        <v>60.292750000000005</v>
      </c>
      <c r="S357" s="223">
        <f t="shared" si="33"/>
        <v>7235.130000000001</v>
      </c>
      <c r="T357" s="223">
        <f t="shared" si="37"/>
        <v>0.99999999999909051</v>
      </c>
      <c r="U357" s="221">
        <v>2983</v>
      </c>
      <c r="V357" s="233"/>
      <c r="W357" s="223"/>
      <c r="X357" s="196">
        <f t="shared" si="35"/>
        <v>120</v>
      </c>
    </row>
    <row r="358" spans="1:24" s="221" customFormat="1">
      <c r="A358" s="226" t="s">
        <v>1824</v>
      </c>
      <c r="B358" s="226" t="s">
        <v>1817</v>
      </c>
      <c r="C358" s="226"/>
      <c r="D358" s="226">
        <v>2269</v>
      </c>
      <c r="E358" s="226"/>
      <c r="F358" s="226" t="s">
        <v>1815</v>
      </c>
      <c r="G358" s="220" t="str">
        <f t="shared" si="34"/>
        <v>19/1/2004</v>
      </c>
      <c r="H358" s="242">
        <v>19</v>
      </c>
      <c r="I358" s="242">
        <v>1</v>
      </c>
      <c r="J358" s="225">
        <v>2004</v>
      </c>
      <c r="K358" s="226" t="s">
        <v>30</v>
      </c>
      <c r="L358" s="226" t="s">
        <v>1814</v>
      </c>
      <c r="M358" s="226" t="s">
        <v>869</v>
      </c>
      <c r="N358" s="230">
        <v>7236.13</v>
      </c>
      <c r="O358" s="230"/>
      <c r="Q358" s="221">
        <v>10</v>
      </c>
      <c r="R358" s="112">
        <f t="shared" si="36"/>
        <v>60.292750000000005</v>
      </c>
      <c r="S358" s="223">
        <f t="shared" si="33"/>
        <v>7235.130000000001</v>
      </c>
      <c r="T358" s="223">
        <f t="shared" si="37"/>
        <v>0.99999999999909051</v>
      </c>
      <c r="U358" s="221">
        <v>2983</v>
      </c>
      <c r="V358" s="233"/>
      <c r="W358" s="223"/>
      <c r="X358" s="196">
        <f t="shared" si="35"/>
        <v>120</v>
      </c>
    </row>
    <row r="359" spans="1:24" s="221" customFormat="1">
      <c r="A359" s="226" t="s">
        <v>1823</v>
      </c>
      <c r="B359" s="226" t="s">
        <v>1817</v>
      </c>
      <c r="C359" s="226"/>
      <c r="D359" s="226">
        <v>2269</v>
      </c>
      <c r="E359" s="226"/>
      <c r="F359" s="226" t="s">
        <v>1815</v>
      </c>
      <c r="G359" s="220" t="str">
        <f t="shared" si="34"/>
        <v>19/1/2004</v>
      </c>
      <c r="H359" s="242">
        <v>19</v>
      </c>
      <c r="I359" s="242">
        <v>1</v>
      </c>
      <c r="J359" s="225">
        <v>2004</v>
      </c>
      <c r="K359" s="226" t="s">
        <v>30</v>
      </c>
      <c r="L359" s="226" t="s">
        <v>1814</v>
      </c>
      <c r="M359" s="226" t="s">
        <v>869</v>
      </c>
      <c r="N359" s="230">
        <v>7236.13</v>
      </c>
      <c r="O359" s="230"/>
      <c r="Q359" s="221">
        <v>10</v>
      </c>
      <c r="R359" s="112">
        <f t="shared" si="36"/>
        <v>60.292750000000005</v>
      </c>
      <c r="S359" s="223">
        <f t="shared" si="33"/>
        <v>7235.130000000001</v>
      </c>
      <c r="T359" s="223">
        <f t="shared" si="37"/>
        <v>0.99999999999909051</v>
      </c>
      <c r="U359" s="221">
        <v>2983</v>
      </c>
      <c r="V359" s="233"/>
      <c r="W359" s="223"/>
      <c r="X359" s="196">
        <f t="shared" si="35"/>
        <v>120</v>
      </c>
    </row>
    <row r="360" spans="1:24" s="221" customFormat="1">
      <c r="A360" s="226" t="s">
        <v>1822</v>
      </c>
      <c r="B360" s="226" t="s">
        <v>1817</v>
      </c>
      <c r="C360" s="226"/>
      <c r="D360" s="226">
        <v>2269</v>
      </c>
      <c r="E360" s="226"/>
      <c r="F360" s="226" t="s">
        <v>1815</v>
      </c>
      <c r="G360" s="220" t="str">
        <f t="shared" si="34"/>
        <v>19/1/2004</v>
      </c>
      <c r="H360" s="242">
        <v>19</v>
      </c>
      <c r="I360" s="242">
        <v>1</v>
      </c>
      <c r="J360" s="225">
        <v>2004</v>
      </c>
      <c r="K360" s="226" t="s">
        <v>30</v>
      </c>
      <c r="L360" s="226" t="s">
        <v>1814</v>
      </c>
      <c r="M360" s="226" t="s">
        <v>869</v>
      </c>
      <c r="N360" s="230">
        <v>7236.13</v>
      </c>
      <c r="O360" s="230" t="s">
        <v>1821</v>
      </c>
      <c r="Q360" s="221">
        <v>10</v>
      </c>
      <c r="R360" s="112">
        <f t="shared" si="36"/>
        <v>60.292750000000005</v>
      </c>
      <c r="S360" s="223">
        <f t="shared" si="33"/>
        <v>7235.130000000001</v>
      </c>
      <c r="T360" s="223">
        <f t="shared" si="37"/>
        <v>0.99999999999909051</v>
      </c>
      <c r="U360" s="221">
        <v>2983</v>
      </c>
      <c r="V360" s="233"/>
      <c r="W360" s="223"/>
      <c r="X360" s="196">
        <f t="shared" si="35"/>
        <v>120</v>
      </c>
    </row>
    <row r="361" spans="1:24" s="221" customFormat="1">
      <c r="A361" s="226" t="s">
        <v>1820</v>
      </c>
      <c r="B361" s="226" t="s">
        <v>1817</v>
      </c>
      <c r="C361" s="226"/>
      <c r="D361" s="226">
        <v>2269</v>
      </c>
      <c r="E361" s="226"/>
      <c r="F361" s="226" t="s">
        <v>1815</v>
      </c>
      <c r="G361" s="220" t="str">
        <f t="shared" si="34"/>
        <v>19/1/2004</v>
      </c>
      <c r="H361" s="242">
        <v>19</v>
      </c>
      <c r="I361" s="242">
        <v>1</v>
      </c>
      <c r="J361" s="225">
        <v>2004</v>
      </c>
      <c r="K361" s="226" t="s">
        <v>30</v>
      </c>
      <c r="L361" s="226" t="s">
        <v>1814</v>
      </c>
      <c r="M361" s="226" t="s">
        <v>869</v>
      </c>
      <c r="N361" s="230">
        <v>7236.13</v>
      </c>
      <c r="O361" s="230"/>
      <c r="Q361" s="221">
        <v>10</v>
      </c>
      <c r="R361" s="112">
        <f t="shared" si="36"/>
        <v>60.292750000000005</v>
      </c>
      <c r="S361" s="223">
        <f t="shared" si="33"/>
        <v>7235.130000000001</v>
      </c>
      <c r="T361" s="223">
        <f t="shared" si="37"/>
        <v>0.99999999999909051</v>
      </c>
      <c r="U361" s="221">
        <v>2983</v>
      </c>
      <c r="V361" s="233"/>
      <c r="W361" s="223"/>
      <c r="X361" s="196">
        <f t="shared" si="35"/>
        <v>120</v>
      </c>
    </row>
    <row r="362" spans="1:24" s="221" customFormat="1">
      <c r="A362" s="226" t="s">
        <v>1819</v>
      </c>
      <c r="B362" s="226" t="s">
        <v>1817</v>
      </c>
      <c r="C362" s="226"/>
      <c r="D362" s="226">
        <v>2269</v>
      </c>
      <c r="E362" s="226"/>
      <c r="F362" s="226" t="s">
        <v>1815</v>
      </c>
      <c r="G362" s="220" t="str">
        <f t="shared" si="34"/>
        <v>19/1/2004</v>
      </c>
      <c r="H362" s="242">
        <v>19</v>
      </c>
      <c r="I362" s="242">
        <v>1</v>
      </c>
      <c r="J362" s="225">
        <v>2004</v>
      </c>
      <c r="K362" s="226" t="s">
        <v>30</v>
      </c>
      <c r="L362" s="226" t="s">
        <v>1814</v>
      </c>
      <c r="M362" s="226" t="s">
        <v>869</v>
      </c>
      <c r="N362" s="230">
        <v>7236.13</v>
      </c>
      <c r="O362" s="230"/>
      <c r="Q362" s="221">
        <v>10</v>
      </c>
      <c r="R362" s="112">
        <f t="shared" si="36"/>
        <v>60.292750000000005</v>
      </c>
      <c r="S362" s="223">
        <f t="shared" si="33"/>
        <v>7235.130000000001</v>
      </c>
      <c r="T362" s="223">
        <f t="shared" si="37"/>
        <v>0.99999999999909051</v>
      </c>
      <c r="U362" s="221">
        <v>2983</v>
      </c>
      <c r="V362" s="233"/>
      <c r="W362" s="223"/>
      <c r="X362" s="196">
        <f t="shared" si="35"/>
        <v>120</v>
      </c>
    </row>
    <row r="363" spans="1:24" s="221" customFormat="1">
      <c r="A363" s="226" t="s">
        <v>1818</v>
      </c>
      <c r="B363" s="226" t="s">
        <v>1817</v>
      </c>
      <c r="C363" s="226"/>
      <c r="D363" s="226" t="s">
        <v>1816</v>
      </c>
      <c r="E363" s="226"/>
      <c r="F363" s="226" t="s">
        <v>1815</v>
      </c>
      <c r="G363" s="220" t="str">
        <f t="shared" si="34"/>
        <v>19/1/2004</v>
      </c>
      <c r="H363" s="242">
        <v>19</v>
      </c>
      <c r="I363" s="242">
        <v>1</v>
      </c>
      <c r="J363" s="225">
        <v>2004</v>
      </c>
      <c r="K363" s="226" t="s">
        <v>30</v>
      </c>
      <c r="L363" s="226" t="s">
        <v>1814</v>
      </c>
      <c r="M363" s="226" t="s">
        <v>869</v>
      </c>
      <c r="N363" s="230">
        <v>9686.7000000000007</v>
      </c>
      <c r="O363" s="230"/>
      <c r="Q363" s="221">
        <v>10</v>
      </c>
      <c r="R363" s="112">
        <f t="shared" si="36"/>
        <v>80.714166666666671</v>
      </c>
      <c r="S363" s="223">
        <f t="shared" si="33"/>
        <v>9685.7000000000007</v>
      </c>
      <c r="T363" s="223">
        <f t="shared" si="37"/>
        <v>1</v>
      </c>
      <c r="U363" s="221">
        <v>2983</v>
      </c>
      <c r="V363" s="233"/>
      <c r="W363" s="223"/>
      <c r="X363" s="196">
        <f t="shared" si="35"/>
        <v>120</v>
      </c>
    </row>
    <row r="364" spans="1:24" s="221" customFormat="1">
      <c r="A364" s="226" t="s">
        <v>1813</v>
      </c>
      <c r="B364" s="226" t="s">
        <v>1812</v>
      </c>
      <c r="C364" s="226"/>
      <c r="D364" s="226"/>
      <c r="E364" s="226"/>
      <c r="F364" s="226" t="s">
        <v>1720</v>
      </c>
      <c r="G364" s="220" t="str">
        <f t="shared" si="34"/>
        <v>16/12/2003</v>
      </c>
      <c r="H364" s="242">
        <v>16</v>
      </c>
      <c r="I364" s="242">
        <v>12</v>
      </c>
      <c r="J364" s="225">
        <v>2003</v>
      </c>
      <c r="K364" s="226" t="s">
        <v>30</v>
      </c>
      <c r="L364" s="226">
        <v>5463</v>
      </c>
      <c r="M364" s="226" t="s">
        <v>869</v>
      </c>
      <c r="N364" s="230">
        <v>3560</v>
      </c>
      <c r="O364" s="230"/>
      <c r="Q364" s="221">
        <v>10</v>
      </c>
      <c r="R364" s="112">
        <f t="shared" si="36"/>
        <v>29.658333333333331</v>
      </c>
      <c r="S364" s="223">
        <f t="shared" si="33"/>
        <v>3559</v>
      </c>
      <c r="T364" s="223">
        <f t="shared" si="37"/>
        <v>1</v>
      </c>
      <c r="U364" s="221">
        <v>2894</v>
      </c>
      <c r="V364" s="233"/>
      <c r="W364" s="223"/>
      <c r="X364" s="196">
        <f t="shared" si="35"/>
        <v>120</v>
      </c>
    </row>
    <row r="365" spans="1:24" s="221" customFormat="1">
      <c r="A365" s="226" t="s">
        <v>1811</v>
      </c>
      <c r="B365" s="226" t="s">
        <v>1804</v>
      </c>
      <c r="C365" s="226"/>
      <c r="D365" s="226" t="s">
        <v>1810</v>
      </c>
      <c r="E365" s="226"/>
      <c r="F365" s="226" t="s">
        <v>1720</v>
      </c>
      <c r="G365" s="220" t="str">
        <f t="shared" si="34"/>
        <v>24/4/2003</v>
      </c>
      <c r="H365" s="242">
        <v>24</v>
      </c>
      <c r="I365" s="242">
        <v>4</v>
      </c>
      <c r="J365" s="225">
        <v>2003</v>
      </c>
      <c r="K365" s="226" t="s">
        <v>30</v>
      </c>
      <c r="L365" s="226">
        <v>5190</v>
      </c>
      <c r="M365" s="226" t="s">
        <v>869</v>
      </c>
      <c r="N365" s="230">
        <v>2912</v>
      </c>
      <c r="O365" s="230"/>
      <c r="Q365" s="221">
        <v>10</v>
      </c>
      <c r="R365" s="112">
        <f t="shared" si="36"/>
        <v>24.258333333333336</v>
      </c>
      <c r="S365" s="223">
        <f t="shared" si="33"/>
        <v>2911.0000000000005</v>
      </c>
      <c r="T365" s="223">
        <f t="shared" si="37"/>
        <v>0.99999999999954525</v>
      </c>
      <c r="U365" s="221">
        <v>1258</v>
      </c>
      <c r="V365" s="233"/>
      <c r="W365" s="223"/>
      <c r="X365" s="196">
        <f t="shared" si="35"/>
        <v>120</v>
      </c>
    </row>
    <row r="366" spans="1:24" s="221" customFormat="1">
      <c r="A366" s="226" t="s">
        <v>1809</v>
      </c>
      <c r="B366" s="226" t="s">
        <v>1804</v>
      </c>
      <c r="C366" s="226"/>
      <c r="D366" s="226"/>
      <c r="E366" s="226"/>
      <c r="F366" s="226" t="s">
        <v>1720</v>
      </c>
      <c r="G366" s="220" t="str">
        <f t="shared" si="34"/>
        <v>24/4/2003</v>
      </c>
      <c r="H366" s="242">
        <v>24</v>
      </c>
      <c r="I366" s="242">
        <v>4</v>
      </c>
      <c r="J366" s="225">
        <v>2003</v>
      </c>
      <c r="K366" s="226" t="s">
        <v>30</v>
      </c>
      <c r="L366" s="226">
        <v>5190</v>
      </c>
      <c r="M366" s="226" t="s">
        <v>869</v>
      </c>
      <c r="N366" s="230">
        <v>2912</v>
      </c>
      <c r="O366" s="230" t="s">
        <v>1808</v>
      </c>
      <c r="Q366" s="221">
        <v>10</v>
      </c>
      <c r="R366" s="112">
        <f t="shared" si="36"/>
        <v>24.258333333333336</v>
      </c>
      <c r="S366" s="223">
        <f t="shared" si="33"/>
        <v>2911.0000000000005</v>
      </c>
      <c r="T366" s="223">
        <f t="shared" si="37"/>
        <v>0.99999999999954525</v>
      </c>
      <c r="U366" s="221">
        <v>1258</v>
      </c>
      <c r="V366" s="233"/>
      <c r="W366" s="223"/>
      <c r="X366" s="196">
        <f t="shared" si="35"/>
        <v>120</v>
      </c>
    </row>
    <row r="367" spans="1:24" s="221" customFormat="1">
      <c r="A367" s="226" t="s">
        <v>1807</v>
      </c>
      <c r="B367" s="226" t="s">
        <v>1806</v>
      </c>
      <c r="C367" s="226"/>
      <c r="D367" s="226"/>
      <c r="E367" s="226"/>
      <c r="F367" s="226" t="s">
        <v>1720</v>
      </c>
      <c r="G367" s="220" t="str">
        <f t="shared" si="34"/>
        <v>24/4/2003</v>
      </c>
      <c r="H367" s="242">
        <v>24</v>
      </c>
      <c r="I367" s="242">
        <v>4</v>
      </c>
      <c r="J367" s="225">
        <v>2003</v>
      </c>
      <c r="K367" s="226" t="s">
        <v>30</v>
      </c>
      <c r="L367" s="226">
        <v>5190</v>
      </c>
      <c r="M367" s="226" t="s">
        <v>869</v>
      </c>
      <c r="N367" s="230">
        <v>2912</v>
      </c>
      <c r="O367" s="230" t="s">
        <v>563</v>
      </c>
      <c r="Q367" s="221">
        <v>10</v>
      </c>
      <c r="R367" s="112">
        <f t="shared" si="36"/>
        <v>24.258333333333336</v>
      </c>
      <c r="S367" s="223">
        <f t="shared" si="33"/>
        <v>2911.0000000000005</v>
      </c>
      <c r="T367" s="223">
        <f t="shared" si="37"/>
        <v>0.99999999999954525</v>
      </c>
      <c r="U367" s="221">
        <v>1258</v>
      </c>
      <c r="V367" s="233"/>
      <c r="W367" s="223"/>
      <c r="X367" s="196">
        <f t="shared" si="35"/>
        <v>120</v>
      </c>
    </row>
    <row r="368" spans="1:24" s="221" customFormat="1">
      <c r="A368" s="226" t="s">
        <v>1805</v>
      </c>
      <c r="B368" s="226" t="s">
        <v>1804</v>
      </c>
      <c r="C368" s="226"/>
      <c r="D368" s="226"/>
      <c r="E368" s="248"/>
      <c r="F368" s="248" t="s">
        <v>1720</v>
      </c>
      <c r="G368" s="220" t="str">
        <f t="shared" si="34"/>
        <v>24/4/2003</v>
      </c>
      <c r="H368" s="251">
        <v>24</v>
      </c>
      <c r="I368" s="251">
        <v>4</v>
      </c>
      <c r="J368" s="250">
        <v>2003</v>
      </c>
      <c r="K368" s="248" t="s">
        <v>30</v>
      </c>
      <c r="L368" s="250">
        <v>5190</v>
      </c>
      <c r="M368" s="226" t="s">
        <v>869</v>
      </c>
      <c r="N368" s="230">
        <v>2912</v>
      </c>
      <c r="O368" s="230"/>
      <c r="Q368" s="221">
        <v>10</v>
      </c>
      <c r="R368" s="112">
        <f t="shared" si="36"/>
        <v>24.258333333333336</v>
      </c>
      <c r="S368" s="223">
        <f t="shared" si="33"/>
        <v>2911.0000000000005</v>
      </c>
      <c r="T368" s="223">
        <f t="shared" si="37"/>
        <v>0.99999999999954525</v>
      </c>
      <c r="U368" s="221">
        <v>1258</v>
      </c>
      <c r="V368" s="233"/>
      <c r="W368" s="223"/>
      <c r="X368" s="196">
        <f t="shared" si="35"/>
        <v>120</v>
      </c>
    </row>
    <row r="369" spans="1:24" s="221" customFormat="1" ht="31.5">
      <c r="A369" s="226" t="s">
        <v>1803</v>
      </c>
      <c r="B369" s="226" t="s">
        <v>1802</v>
      </c>
      <c r="C369" s="226"/>
      <c r="D369" s="226"/>
      <c r="E369" s="226"/>
      <c r="F369" s="226" t="s">
        <v>1724</v>
      </c>
      <c r="G369" s="220" t="str">
        <f t="shared" si="34"/>
        <v>22/11/2003</v>
      </c>
      <c r="H369" s="242">
        <v>22</v>
      </c>
      <c r="I369" s="242">
        <v>11</v>
      </c>
      <c r="J369" s="225">
        <v>2003</v>
      </c>
      <c r="K369" s="226" t="s">
        <v>30</v>
      </c>
      <c r="L369" s="226" t="s">
        <v>1801</v>
      </c>
      <c r="M369" s="226" t="s">
        <v>869</v>
      </c>
      <c r="N369" s="168">
        <v>16499</v>
      </c>
      <c r="O369" s="244" t="s">
        <v>1800</v>
      </c>
      <c r="Q369" s="221">
        <v>10</v>
      </c>
      <c r="R369" s="112">
        <f t="shared" si="36"/>
        <v>137.48333333333332</v>
      </c>
      <c r="S369" s="223">
        <f t="shared" si="33"/>
        <v>16498</v>
      </c>
      <c r="T369" s="223">
        <f t="shared" si="37"/>
        <v>1</v>
      </c>
      <c r="U369" s="221">
        <v>2492</v>
      </c>
      <c r="V369" s="233"/>
      <c r="W369" s="223"/>
      <c r="X369" s="196">
        <f t="shared" si="35"/>
        <v>120</v>
      </c>
    </row>
    <row r="370" spans="1:24" s="221" customFormat="1">
      <c r="A370" s="226" t="s">
        <v>1799</v>
      </c>
      <c r="B370" s="226" t="s">
        <v>1798</v>
      </c>
      <c r="C370" s="226"/>
      <c r="D370" s="226"/>
      <c r="E370" s="226"/>
      <c r="F370" s="226" t="s">
        <v>1720</v>
      </c>
      <c r="G370" s="220" t="str">
        <f t="shared" si="34"/>
        <v>20/6/2005</v>
      </c>
      <c r="H370" s="242">
        <v>20</v>
      </c>
      <c r="I370" s="242">
        <v>6</v>
      </c>
      <c r="J370" s="225">
        <v>2005</v>
      </c>
      <c r="K370" s="226" t="s">
        <v>30</v>
      </c>
      <c r="L370" s="225">
        <v>6062</v>
      </c>
      <c r="M370" s="226" t="s">
        <v>869</v>
      </c>
      <c r="N370" s="230">
        <v>7795.2</v>
      </c>
      <c r="O370" s="230"/>
      <c r="Q370" s="221">
        <v>10</v>
      </c>
      <c r="R370" s="112">
        <f t="shared" si="36"/>
        <v>64.951666666666668</v>
      </c>
      <c r="S370" s="223">
        <f t="shared" si="33"/>
        <v>6884.876666666667</v>
      </c>
      <c r="T370" s="223">
        <f t="shared" si="37"/>
        <v>910.32333333333281</v>
      </c>
      <c r="U370" s="221">
        <v>6483</v>
      </c>
      <c r="V370" s="233"/>
      <c r="W370" s="223"/>
      <c r="X370" s="196">
        <f t="shared" si="35"/>
        <v>106</v>
      </c>
    </row>
    <row r="371" spans="1:24" s="221" customFormat="1">
      <c r="A371" s="226" t="s">
        <v>1797</v>
      </c>
      <c r="B371" s="226" t="s">
        <v>1796</v>
      </c>
      <c r="C371" s="226"/>
      <c r="D371" s="226"/>
      <c r="E371" s="226"/>
      <c r="F371" s="226"/>
      <c r="G371" s="220" t="str">
        <f t="shared" si="34"/>
        <v>//</v>
      </c>
      <c r="H371" s="242"/>
      <c r="I371" s="242"/>
      <c r="J371" s="225"/>
      <c r="K371" s="226"/>
      <c r="L371" s="226"/>
      <c r="M371" s="226" t="s">
        <v>869</v>
      </c>
      <c r="N371" s="230">
        <v>1</v>
      </c>
      <c r="O371" s="230"/>
      <c r="Q371" s="221">
        <v>10</v>
      </c>
      <c r="R371" s="112">
        <f t="shared" si="36"/>
        <v>0</v>
      </c>
      <c r="S371" s="223">
        <v>0</v>
      </c>
      <c r="T371" s="223">
        <f t="shared" si="37"/>
        <v>1</v>
      </c>
      <c r="V371" s="233"/>
      <c r="W371" s="223"/>
      <c r="X371" s="196" t="e">
        <f t="shared" si="35"/>
        <v>#VALUE!</v>
      </c>
    </row>
    <row r="372" spans="1:24" s="221" customFormat="1">
      <c r="A372" s="483" t="s">
        <v>1795</v>
      </c>
      <c r="B372" s="483" t="s">
        <v>1789</v>
      </c>
      <c r="C372" s="483"/>
      <c r="D372" s="483"/>
      <c r="E372" s="483"/>
      <c r="F372" s="483" t="s">
        <v>1421</v>
      </c>
      <c r="G372" s="484" t="str">
        <f t="shared" si="34"/>
        <v>30/10/2002</v>
      </c>
      <c r="H372" s="485">
        <v>30</v>
      </c>
      <c r="I372" s="485">
        <v>10</v>
      </c>
      <c r="J372" s="486">
        <v>2002</v>
      </c>
      <c r="K372" s="483" t="s">
        <v>30</v>
      </c>
      <c r="L372" s="483">
        <v>5602</v>
      </c>
      <c r="M372" s="483" t="s">
        <v>869</v>
      </c>
      <c r="N372" s="487">
        <v>2765</v>
      </c>
      <c r="O372" s="230" t="s">
        <v>1794</v>
      </c>
      <c r="Q372" s="488">
        <v>10</v>
      </c>
      <c r="R372" s="489">
        <f t="shared" si="36"/>
        <v>23.033333333333331</v>
      </c>
      <c r="S372" s="490">
        <f>X372*R372</f>
        <v>2764</v>
      </c>
      <c r="T372" s="490">
        <f t="shared" si="37"/>
        <v>1</v>
      </c>
      <c r="U372" s="488">
        <v>929</v>
      </c>
      <c r="V372" s="491"/>
      <c r="W372" s="490"/>
      <c r="X372" s="492">
        <f t="shared" si="35"/>
        <v>120</v>
      </c>
    </row>
    <row r="373" spans="1:24" s="221" customFormat="1">
      <c r="A373" s="226" t="s">
        <v>1793</v>
      </c>
      <c r="B373" s="226" t="s">
        <v>1789</v>
      </c>
      <c r="C373" s="226"/>
      <c r="D373" s="226"/>
      <c r="E373" s="226"/>
      <c r="F373" s="226"/>
      <c r="G373" s="220" t="str">
        <f t="shared" si="34"/>
        <v>//</v>
      </c>
      <c r="H373" s="242"/>
      <c r="I373" s="242"/>
      <c r="J373" s="225"/>
      <c r="K373" s="226"/>
      <c r="L373" s="226"/>
      <c r="M373" s="226" t="s">
        <v>869</v>
      </c>
      <c r="N373" s="230">
        <v>1</v>
      </c>
      <c r="O373" s="230"/>
      <c r="Q373" s="221">
        <v>10</v>
      </c>
      <c r="R373" s="112">
        <f t="shared" si="36"/>
        <v>0</v>
      </c>
      <c r="S373" s="223">
        <v>0</v>
      </c>
      <c r="T373" s="223">
        <f t="shared" si="37"/>
        <v>1</v>
      </c>
      <c r="V373" s="233"/>
      <c r="W373" s="223"/>
      <c r="X373" s="196" t="e">
        <f t="shared" si="35"/>
        <v>#VALUE!</v>
      </c>
    </row>
    <row r="374" spans="1:24" s="221" customFormat="1">
      <c r="A374" s="226" t="s">
        <v>1792</v>
      </c>
      <c r="B374" s="226" t="s">
        <v>1789</v>
      </c>
      <c r="C374" s="226"/>
      <c r="D374" s="226"/>
      <c r="E374" s="226"/>
      <c r="F374" s="226"/>
      <c r="G374" s="220" t="str">
        <f t="shared" si="34"/>
        <v>//</v>
      </c>
      <c r="H374" s="242"/>
      <c r="I374" s="242"/>
      <c r="J374" s="225"/>
      <c r="K374" s="226"/>
      <c r="L374" s="226"/>
      <c r="M374" s="226" t="s">
        <v>869</v>
      </c>
      <c r="N374" s="168">
        <v>1</v>
      </c>
      <c r="O374" s="168"/>
      <c r="Q374" s="221">
        <v>10</v>
      </c>
      <c r="R374" s="112">
        <f t="shared" si="36"/>
        <v>0</v>
      </c>
      <c r="S374" s="223">
        <v>0</v>
      </c>
      <c r="T374" s="223">
        <f t="shared" si="37"/>
        <v>1</v>
      </c>
      <c r="V374" s="233"/>
      <c r="W374" s="223"/>
      <c r="X374" s="196" t="e">
        <f t="shared" si="35"/>
        <v>#VALUE!</v>
      </c>
    </row>
    <row r="375" spans="1:24" s="221" customFormat="1">
      <c r="A375" s="226" t="s">
        <v>1791</v>
      </c>
      <c r="B375" s="226" t="s">
        <v>1789</v>
      </c>
      <c r="C375" s="226"/>
      <c r="D375" s="226"/>
      <c r="E375" s="226"/>
      <c r="F375" s="226"/>
      <c r="G375" s="220" t="str">
        <f t="shared" si="34"/>
        <v>//</v>
      </c>
      <c r="H375" s="242"/>
      <c r="I375" s="242"/>
      <c r="J375" s="225"/>
      <c r="K375" s="226"/>
      <c r="L375" s="226"/>
      <c r="M375" s="226" t="s">
        <v>869</v>
      </c>
      <c r="N375" s="168">
        <v>1</v>
      </c>
      <c r="O375" s="168"/>
      <c r="Q375" s="221">
        <v>10</v>
      </c>
      <c r="R375" s="112">
        <f t="shared" si="36"/>
        <v>0</v>
      </c>
      <c r="S375" s="223">
        <v>0</v>
      </c>
      <c r="T375" s="223">
        <f t="shared" si="37"/>
        <v>1</v>
      </c>
      <c r="V375" s="233"/>
      <c r="W375" s="223"/>
      <c r="X375" s="196" t="e">
        <f t="shared" si="35"/>
        <v>#VALUE!</v>
      </c>
    </row>
    <row r="376" spans="1:24" s="221" customFormat="1">
      <c r="A376" s="483" t="s">
        <v>1790</v>
      </c>
      <c r="B376" s="483" t="s">
        <v>1789</v>
      </c>
      <c r="C376" s="483"/>
      <c r="D376" s="483"/>
      <c r="E376" s="483"/>
      <c r="F376" s="483"/>
      <c r="G376" s="484" t="str">
        <f t="shared" si="34"/>
        <v>//</v>
      </c>
      <c r="H376" s="485"/>
      <c r="I376" s="485"/>
      <c r="J376" s="486"/>
      <c r="K376" s="483"/>
      <c r="L376" s="483"/>
      <c r="M376" s="483" t="s">
        <v>869</v>
      </c>
      <c r="N376" s="493">
        <v>1</v>
      </c>
      <c r="O376" s="168"/>
      <c r="Q376" s="488">
        <v>10</v>
      </c>
      <c r="R376" s="489">
        <f t="shared" si="36"/>
        <v>0</v>
      </c>
      <c r="S376" s="490">
        <v>0</v>
      </c>
      <c r="T376" s="490">
        <f t="shared" si="37"/>
        <v>1</v>
      </c>
      <c r="U376" s="488"/>
      <c r="V376" s="491"/>
      <c r="W376" s="490"/>
      <c r="X376" s="492" t="e">
        <f t="shared" si="35"/>
        <v>#VALUE!</v>
      </c>
    </row>
    <row r="377" spans="1:24" s="221" customFormat="1">
      <c r="A377" s="226" t="s">
        <v>1788</v>
      </c>
      <c r="B377" s="226" t="s">
        <v>1785</v>
      </c>
      <c r="C377" s="226"/>
      <c r="D377" s="226"/>
      <c r="E377" s="226"/>
      <c r="F377" s="226" t="s">
        <v>1720</v>
      </c>
      <c r="G377" s="220" t="str">
        <f t="shared" si="34"/>
        <v>17/5/2005</v>
      </c>
      <c r="H377" s="242">
        <v>17</v>
      </c>
      <c r="I377" s="242">
        <v>5</v>
      </c>
      <c r="J377" s="225">
        <v>2005</v>
      </c>
      <c r="K377" s="226" t="s">
        <v>30</v>
      </c>
      <c r="L377" s="226">
        <v>6032</v>
      </c>
      <c r="M377" s="226" t="s">
        <v>869</v>
      </c>
      <c r="N377" s="230">
        <v>4718</v>
      </c>
      <c r="O377" s="230"/>
      <c r="Q377" s="221">
        <v>10</v>
      </c>
      <c r="R377" s="112">
        <f t="shared" si="36"/>
        <v>39.30833333333333</v>
      </c>
      <c r="S377" s="223">
        <f>X377*R377</f>
        <v>4205.9916666666659</v>
      </c>
      <c r="T377" s="223">
        <f t="shared" si="37"/>
        <v>512.00833333333412</v>
      </c>
      <c r="U377" s="221">
        <v>6375</v>
      </c>
      <c r="V377" s="233"/>
      <c r="W377" s="223"/>
      <c r="X377" s="196">
        <f t="shared" si="35"/>
        <v>107</v>
      </c>
    </row>
    <row r="378" spans="1:24" s="221" customFormat="1">
      <c r="A378" s="226" t="s">
        <v>1787</v>
      </c>
      <c r="B378" s="226" t="s">
        <v>1785</v>
      </c>
      <c r="C378" s="226"/>
      <c r="D378" s="226"/>
      <c r="E378" s="226"/>
      <c r="F378" s="226" t="s">
        <v>1421</v>
      </c>
      <c r="G378" s="220" t="str">
        <f t="shared" si="34"/>
        <v>20/9/2002</v>
      </c>
      <c r="H378" s="242">
        <v>20</v>
      </c>
      <c r="I378" s="242">
        <v>9</v>
      </c>
      <c r="J378" s="225">
        <v>2002</v>
      </c>
      <c r="K378" s="226" t="s">
        <v>30</v>
      </c>
      <c r="L378" s="226">
        <v>5446</v>
      </c>
      <c r="M378" s="226" t="s">
        <v>869</v>
      </c>
      <c r="N378" s="230">
        <v>3064.32</v>
      </c>
      <c r="O378" s="230" t="s">
        <v>1747</v>
      </c>
      <c r="Q378" s="221">
        <v>10</v>
      </c>
      <c r="R378" s="112">
        <f t="shared" si="36"/>
        <v>25.527666666666665</v>
      </c>
      <c r="S378" s="223">
        <f>X378*R378</f>
        <v>3063.3199999999997</v>
      </c>
      <c r="T378" s="223">
        <f t="shared" si="37"/>
        <v>1.0000000000004547</v>
      </c>
      <c r="U378" s="221">
        <v>877</v>
      </c>
      <c r="V378" s="233"/>
      <c r="W378" s="223"/>
      <c r="X378" s="196">
        <f t="shared" si="35"/>
        <v>120</v>
      </c>
    </row>
    <row r="379" spans="1:24" s="221" customFormat="1">
      <c r="A379" s="226" t="s">
        <v>1786</v>
      </c>
      <c r="B379" s="226" t="s">
        <v>1785</v>
      </c>
      <c r="C379" s="226"/>
      <c r="D379" s="226"/>
      <c r="E379" s="226"/>
      <c r="F379" s="226"/>
      <c r="G379" s="220" t="str">
        <f t="shared" si="34"/>
        <v>//</v>
      </c>
      <c r="H379" s="242"/>
      <c r="I379" s="242"/>
      <c r="J379" s="225"/>
      <c r="K379" s="226"/>
      <c r="L379" s="226"/>
      <c r="M379" s="226" t="s">
        <v>869</v>
      </c>
      <c r="N379" s="230">
        <v>1</v>
      </c>
      <c r="O379" s="230"/>
      <c r="Q379" s="221">
        <v>10</v>
      </c>
      <c r="R379" s="112">
        <f t="shared" si="36"/>
        <v>0</v>
      </c>
      <c r="S379" s="223">
        <v>0</v>
      </c>
      <c r="T379" s="223">
        <f t="shared" si="37"/>
        <v>1</v>
      </c>
      <c r="V379" s="233"/>
      <c r="W379" s="223"/>
      <c r="X379" s="196" t="e">
        <f t="shared" si="35"/>
        <v>#VALUE!</v>
      </c>
    </row>
    <row r="380" spans="1:24" s="221" customFormat="1">
      <c r="A380" s="226" t="s">
        <v>1784</v>
      </c>
      <c r="B380" s="226" t="s">
        <v>1783</v>
      </c>
      <c r="C380" s="226"/>
      <c r="D380" s="226"/>
      <c r="E380" s="226"/>
      <c r="F380" s="226"/>
      <c r="G380" s="220" t="str">
        <f t="shared" si="34"/>
        <v>//</v>
      </c>
      <c r="H380" s="242"/>
      <c r="I380" s="242"/>
      <c r="J380" s="225"/>
      <c r="K380" s="226"/>
      <c r="L380" s="226"/>
      <c r="M380" s="226" t="s">
        <v>869</v>
      </c>
      <c r="N380" s="230">
        <v>1</v>
      </c>
      <c r="O380" s="230"/>
      <c r="Q380" s="221">
        <v>10</v>
      </c>
      <c r="R380" s="112">
        <f t="shared" si="36"/>
        <v>0</v>
      </c>
      <c r="S380" s="223">
        <v>0</v>
      </c>
      <c r="T380" s="223">
        <f t="shared" si="37"/>
        <v>1</v>
      </c>
      <c r="V380" s="233"/>
      <c r="W380" s="223"/>
      <c r="X380" s="196" t="e">
        <f t="shared" si="35"/>
        <v>#VALUE!</v>
      </c>
    </row>
    <row r="381" spans="1:24" s="221" customFormat="1">
      <c r="A381" s="226" t="s">
        <v>1782</v>
      </c>
      <c r="B381" s="226" t="s">
        <v>1781</v>
      </c>
      <c r="C381" s="226"/>
      <c r="D381" s="226"/>
      <c r="E381" s="226"/>
      <c r="F381" s="226" t="s">
        <v>1739</v>
      </c>
      <c r="G381" s="220" t="str">
        <f t="shared" si="34"/>
        <v>11/8/2003</v>
      </c>
      <c r="H381" s="242">
        <v>11</v>
      </c>
      <c r="I381" s="242">
        <v>8</v>
      </c>
      <c r="J381" s="225">
        <v>2003</v>
      </c>
      <c r="K381" s="226" t="s">
        <v>1510</v>
      </c>
      <c r="L381" s="226">
        <v>695</v>
      </c>
      <c r="M381" s="226" t="s">
        <v>869</v>
      </c>
      <c r="N381" s="230">
        <v>7195.5</v>
      </c>
      <c r="O381" s="230"/>
      <c r="Q381" s="221">
        <v>10</v>
      </c>
      <c r="R381" s="112">
        <f t="shared" si="36"/>
        <v>59.954166666666673</v>
      </c>
      <c r="S381" s="223">
        <f>X381*R381</f>
        <v>7194.5000000000009</v>
      </c>
      <c r="T381" s="223">
        <f t="shared" si="37"/>
        <v>0.99999999999909051</v>
      </c>
      <c r="U381" s="221">
        <v>2532</v>
      </c>
      <c r="V381" s="233"/>
      <c r="W381" s="223"/>
      <c r="X381" s="196">
        <f t="shared" si="35"/>
        <v>120</v>
      </c>
    </row>
    <row r="382" spans="1:24" s="221" customFormat="1">
      <c r="A382" s="226" t="s">
        <v>1780</v>
      </c>
      <c r="B382" s="226" t="s">
        <v>1779</v>
      </c>
      <c r="C382" s="226"/>
      <c r="D382" s="226"/>
      <c r="E382" s="226"/>
      <c r="F382" s="226"/>
      <c r="G382" s="220" t="str">
        <f t="shared" si="34"/>
        <v>//</v>
      </c>
      <c r="H382" s="242"/>
      <c r="I382" s="242"/>
      <c r="J382" s="225"/>
      <c r="K382" s="226"/>
      <c r="L382" s="226"/>
      <c r="M382" s="226" t="s">
        <v>869</v>
      </c>
      <c r="N382" s="230">
        <v>1</v>
      </c>
      <c r="O382" s="230"/>
      <c r="Q382" s="221">
        <v>10</v>
      </c>
      <c r="R382" s="112">
        <f t="shared" si="36"/>
        <v>0</v>
      </c>
      <c r="S382" s="223">
        <v>0</v>
      </c>
      <c r="T382" s="223">
        <f t="shared" si="37"/>
        <v>1</v>
      </c>
      <c r="V382" s="233"/>
      <c r="W382" s="223"/>
      <c r="X382" s="196" t="e">
        <f t="shared" si="35"/>
        <v>#VALUE!</v>
      </c>
    </row>
    <row r="383" spans="1:24" s="221" customFormat="1">
      <c r="A383" s="226" t="s">
        <v>1778</v>
      </c>
      <c r="B383" s="226" t="s">
        <v>1776</v>
      </c>
      <c r="C383" s="226"/>
      <c r="D383" s="226"/>
      <c r="E383" s="226"/>
      <c r="F383" s="226"/>
      <c r="G383" s="220" t="str">
        <f t="shared" si="34"/>
        <v>31/12/2003</v>
      </c>
      <c r="H383" s="242">
        <v>31</v>
      </c>
      <c r="I383" s="242">
        <v>12</v>
      </c>
      <c r="J383" s="225">
        <v>2003</v>
      </c>
      <c r="K383" s="226"/>
      <c r="L383" s="226"/>
      <c r="M383" s="226" t="s">
        <v>869</v>
      </c>
      <c r="N383" s="230">
        <v>3905</v>
      </c>
      <c r="O383" s="230"/>
      <c r="Q383" s="221">
        <v>10</v>
      </c>
      <c r="R383" s="112">
        <f t="shared" si="36"/>
        <v>32.533333333333331</v>
      </c>
      <c r="S383" s="223">
        <f>X383*R383</f>
        <v>3904</v>
      </c>
      <c r="T383" s="223">
        <f t="shared" si="37"/>
        <v>1</v>
      </c>
      <c r="V383" s="233"/>
      <c r="W383" s="223"/>
      <c r="X383" s="196">
        <f t="shared" si="35"/>
        <v>120</v>
      </c>
    </row>
    <row r="384" spans="1:24" s="221" customFormat="1">
      <c r="A384" s="226" t="s">
        <v>1777</v>
      </c>
      <c r="B384" s="226" t="s">
        <v>1776</v>
      </c>
      <c r="C384" s="226"/>
      <c r="D384" s="226"/>
      <c r="E384" s="226"/>
      <c r="F384" s="226"/>
      <c r="G384" s="220" t="str">
        <f t="shared" si="34"/>
        <v>//</v>
      </c>
      <c r="H384" s="242"/>
      <c r="I384" s="242"/>
      <c r="J384" s="225"/>
      <c r="K384" s="226"/>
      <c r="L384" s="226"/>
      <c r="M384" s="226" t="s">
        <v>869</v>
      </c>
      <c r="N384" s="230">
        <v>1</v>
      </c>
      <c r="O384" s="230" t="s">
        <v>1617</v>
      </c>
      <c r="Q384" s="221">
        <v>10</v>
      </c>
      <c r="R384" s="112">
        <f t="shared" si="36"/>
        <v>0</v>
      </c>
      <c r="S384" s="223">
        <v>0</v>
      </c>
      <c r="T384" s="223">
        <f t="shared" si="37"/>
        <v>1</v>
      </c>
      <c r="V384" s="233"/>
      <c r="W384" s="223"/>
      <c r="X384" s="196" t="e">
        <f t="shared" si="35"/>
        <v>#VALUE!</v>
      </c>
    </row>
    <row r="385" spans="1:24" s="221" customFormat="1">
      <c r="A385" s="226" t="s">
        <v>1775</v>
      </c>
      <c r="B385" s="226" t="s">
        <v>1771</v>
      </c>
      <c r="C385" s="226"/>
      <c r="D385" s="226"/>
      <c r="E385" s="226"/>
      <c r="F385" s="226" t="s">
        <v>1720</v>
      </c>
      <c r="G385" s="220" t="str">
        <f t="shared" si="34"/>
        <v>16/12/2003</v>
      </c>
      <c r="H385" s="242">
        <v>16</v>
      </c>
      <c r="I385" s="242">
        <v>12</v>
      </c>
      <c r="J385" s="225">
        <v>2003</v>
      </c>
      <c r="K385" s="226" t="s">
        <v>30</v>
      </c>
      <c r="L385" s="226">
        <v>5463</v>
      </c>
      <c r="M385" s="226" t="s">
        <v>869</v>
      </c>
      <c r="N385" s="230">
        <v>3440</v>
      </c>
      <c r="O385" s="230"/>
      <c r="Q385" s="221">
        <v>10</v>
      </c>
      <c r="R385" s="112">
        <f t="shared" si="36"/>
        <v>28.658333333333331</v>
      </c>
      <c r="S385" s="223">
        <f>X385*R385</f>
        <v>3439</v>
      </c>
      <c r="T385" s="223">
        <f t="shared" si="37"/>
        <v>1</v>
      </c>
      <c r="U385" s="221">
        <v>2894</v>
      </c>
      <c r="V385" s="233"/>
      <c r="W385" s="223"/>
      <c r="X385" s="196">
        <f t="shared" si="35"/>
        <v>120</v>
      </c>
    </row>
    <row r="386" spans="1:24" s="221" customFormat="1">
      <c r="A386" s="226" t="s">
        <v>1774</v>
      </c>
      <c r="B386" s="226" t="s">
        <v>1771</v>
      </c>
      <c r="C386" s="226"/>
      <c r="D386" s="226"/>
      <c r="E386" s="226"/>
      <c r="F386" s="226" t="s">
        <v>1720</v>
      </c>
      <c r="G386" s="220" t="str">
        <f t="shared" si="34"/>
        <v>16/12/2003</v>
      </c>
      <c r="H386" s="242">
        <v>16</v>
      </c>
      <c r="I386" s="242">
        <v>12</v>
      </c>
      <c r="J386" s="225">
        <v>2003</v>
      </c>
      <c r="K386" s="226" t="s">
        <v>30</v>
      </c>
      <c r="L386" s="226">
        <v>5463</v>
      </c>
      <c r="M386" s="226" t="s">
        <v>869</v>
      </c>
      <c r="N386" s="230">
        <v>3440</v>
      </c>
      <c r="O386" s="230"/>
      <c r="Q386" s="221">
        <v>10</v>
      </c>
      <c r="R386" s="112">
        <f t="shared" si="36"/>
        <v>28.658333333333331</v>
      </c>
      <c r="S386" s="223">
        <f>X386*R386</f>
        <v>3439</v>
      </c>
      <c r="T386" s="223">
        <f t="shared" si="37"/>
        <v>1</v>
      </c>
      <c r="U386" s="221">
        <v>2894</v>
      </c>
      <c r="V386" s="233"/>
      <c r="W386" s="223"/>
      <c r="X386" s="196">
        <f t="shared" si="35"/>
        <v>120</v>
      </c>
    </row>
    <row r="387" spans="1:24" s="221" customFormat="1">
      <c r="A387" s="226" t="s">
        <v>1773</v>
      </c>
      <c r="B387" s="226" t="s">
        <v>1771</v>
      </c>
      <c r="C387" s="226"/>
      <c r="D387" s="226"/>
      <c r="E387" s="226"/>
      <c r="F387" s="226" t="s">
        <v>1720</v>
      </c>
      <c r="G387" s="220" t="str">
        <f t="shared" si="34"/>
        <v>16/12/2003</v>
      </c>
      <c r="H387" s="242">
        <v>16</v>
      </c>
      <c r="I387" s="242">
        <v>12</v>
      </c>
      <c r="J387" s="225">
        <v>2003</v>
      </c>
      <c r="K387" s="226" t="s">
        <v>30</v>
      </c>
      <c r="L387" s="226">
        <v>5463</v>
      </c>
      <c r="M387" s="226" t="s">
        <v>869</v>
      </c>
      <c r="N387" s="230">
        <v>3440</v>
      </c>
      <c r="O387" s="230"/>
      <c r="Q387" s="221">
        <v>10</v>
      </c>
      <c r="R387" s="112">
        <f t="shared" si="36"/>
        <v>28.658333333333331</v>
      </c>
      <c r="S387" s="223">
        <f>X387*R387</f>
        <v>3439</v>
      </c>
      <c r="T387" s="223">
        <f t="shared" si="37"/>
        <v>1</v>
      </c>
      <c r="U387" s="221">
        <v>2894</v>
      </c>
      <c r="V387" s="233"/>
      <c r="W387" s="223"/>
      <c r="X387" s="196">
        <f t="shared" si="35"/>
        <v>120</v>
      </c>
    </row>
    <row r="388" spans="1:24" s="221" customFormat="1">
      <c r="A388" s="226" t="s">
        <v>1772</v>
      </c>
      <c r="B388" s="226" t="s">
        <v>1771</v>
      </c>
      <c r="C388" s="226"/>
      <c r="D388" s="226"/>
      <c r="E388" s="226"/>
      <c r="F388" s="226" t="s">
        <v>1720</v>
      </c>
      <c r="G388" s="220" t="str">
        <f t="shared" si="34"/>
        <v>16/12/2003</v>
      </c>
      <c r="H388" s="242">
        <v>16</v>
      </c>
      <c r="I388" s="242">
        <v>12</v>
      </c>
      <c r="J388" s="225">
        <v>2003</v>
      </c>
      <c r="K388" s="226" t="s">
        <v>30</v>
      </c>
      <c r="L388" s="226">
        <v>5463</v>
      </c>
      <c r="M388" s="226" t="s">
        <v>869</v>
      </c>
      <c r="N388" s="230">
        <v>3440</v>
      </c>
      <c r="O388" s="230"/>
      <c r="Q388" s="221">
        <v>10</v>
      </c>
      <c r="R388" s="112">
        <f t="shared" si="36"/>
        <v>28.658333333333331</v>
      </c>
      <c r="S388" s="223">
        <f>X388*R388</f>
        <v>3439</v>
      </c>
      <c r="T388" s="223">
        <f t="shared" si="37"/>
        <v>1</v>
      </c>
      <c r="U388" s="221">
        <v>2894</v>
      </c>
      <c r="V388" s="233"/>
      <c r="W388" s="223"/>
      <c r="X388" s="196">
        <f t="shared" si="35"/>
        <v>120</v>
      </c>
    </row>
    <row r="389" spans="1:24" s="221" customFormat="1">
      <c r="A389" s="226" t="s">
        <v>1770</v>
      </c>
      <c r="B389" s="226" t="s">
        <v>1769</v>
      </c>
      <c r="C389" s="226"/>
      <c r="D389" s="226"/>
      <c r="E389" s="226"/>
      <c r="F389" s="226"/>
      <c r="G389" s="220" t="str">
        <f t="shared" si="34"/>
        <v>//</v>
      </c>
      <c r="H389" s="242"/>
      <c r="I389" s="242"/>
      <c r="J389" s="225"/>
      <c r="K389" s="226"/>
      <c r="L389" s="225"/>
      <c r="M389" s="226" t="s">
        <v>869</v>
      </c>
      <c r="N389" s="230">
        <v>1</v>
      </c>
      <c r="O389" s="230"/>
      <c r="Q389" s="221">
        <v>10</v>
      </c>
      <c r="R389" s="112">
        <f t="shared" si="36"/>
        <v>0</v>
      </c>
      <c r="S389" s="223">
        <v>0</v>
      </c>
      <c r="T389" s="223">
        <f t="shared" si="37"/>
        <v>1</v>
      </c>
      <c r="V389" s="233"/>
      <c r="W389" s="223"/>
      <c r="X389" s="196" t="e">
        <f t="shared" si="35"/>
        <v>#VALUE!</v>
      </c>
    </row>
    <row r="390" spans="1:24" s="221" customFormat="1">
      <c r="A390" s="483" t="s">
        <v>1768</v>
      </c>
      <c r="B390" s="483" t="s">
        <v>1767</v>
      </c>
      <c r="C390" s="483"/>
      <c r="D390" s="483"/>
      <c r="E390" s="483"/>
      <c r="F390" s="483" t="s">
        <v>1720</v>
      </c>
      <c r="G390" s="484" t="str">
        <f t="shared" si="34"/>
        <v>16/12/2003</v>
      </c>
      <c r="H390" s="485">
        <v>16</v>
      </c>
      <c r="I390" s="485">
        <v>12</v>
      </c>
      <c r="J390" s="486">
        <v>2003</v>
      </c>
      <c r="K390" s="483" t="s">
        <v>30</v>
      </c>
      <c r="L390" s="483">
        <v>5463</v>
      </c>
      <c r="M390" s="483" t="s">
        <v>869</v>
      </c>
      <c r="N390" s="487">
        <v>3440</v>
      </c>
      <c r="O390" s="230" t="s">
        <v>593</v>
      </c>
      <c r="Q390" s="488">
        <v>10</v>
      </c>
      <c r="R390" s="489">
        <f t="shared" si="36"/>
        <v>28.658333333333331</v>
      </c>
      <c r="S390" s="490">
        <f>X390*R390</f>
        <v>3439</v>
      </c>
      <c r="T390" s="490">
        <f t="shared" si="37"/>
        <v>1</v>
      </c>
      <c r="U390" s="488">
        <v>2894</v>
      </c>
      <c r="V390" s="491"/>
      <c r="W390" s="490"/>
      <c r="X390" s="492">
        <f t="shared" si="35"/>
        <v>120</v>
      </c>
    </row>
    <row r="391" spans="1:24" s="221" customFormat="1">
      <c r="A391" s="226" t="s">
        <v>1766</v>
      </c>
      <c r="B391" s="226" t="s">
        <v>1765</v>
      </c>
      <c r="C391" s="226"/>
      <c r="D391" s="226"/>
      <c r="E391" s="226"/>
      <c r="F391" s="226" t="s">
        <v>1720</v>
      </c>
      <c r="G391" s="220" t="str">
        <f t="shared" ref="G391:G454" si="38">CONCATENATE(H391,"/",I391,"/",J391,)</f>
        <v>16/12/2003</v>
      </c>
      <c r="H391" s="242">
        <v>16</v>
      </c>
      <c r="I391" s="242">
        <v>12</v>
      </c>
      <c r="J391" s="225">
        <v>2003</v>
      </c>
      <c r="K391" s="226" t="s">
        <v>30</v>
      </c>
      <c r="L391" s="226">
        <v>5463</v>
      </c>
      <c r="M391" s="226" t="s">
        <v>869</v>
      </c>
      <c r="N391" s="230">
        <v>3440</v>
      </c>
      <c r="O391" s="230"/>
      <c r="Q391" s="221">
        <v>10</v>
      </c>
      <c r="R391" s="112">
        <f t="shared" si="36"/>
        <v>28.658333333333331</v>
      </c>
      <c r="S391" s="223">
        <f>X391*R391</f>
        <v>3439</v>
      </c>
      <c r="T391" s="223">
        <f t="shared" si="37"/>
        <v>1</v>
      </c>
      <c r="U391" s="221">
        <v>2895</v>
      </c>
      <c r="V391" s="233"/>
      <c r="W391" s="223"/>
      <c r="X391" s="196">
        <f t="shared" ref="X391:X454" si="39">IF((DATEDIF(G391,X$4,"m"))&gt;=120,120,(DATEDIF(G391,X$4,"m")))</f>
        <v>120</v>
      </c>
    </row>
    <row r="392" spans="1:24" s="221" customFormat="1">
      <c r="A392" s="483" t="s">
        <v>1764</v>
      </c>
      <c r="B392" s="483" t="s">
        <v>1763</v>
      </c>
      <c r="C392" s="483"/>
      <c r="D392" s="483"/>
      <c r="E392" s="483"/>
      <c r="F392" s="483" t="s">
        <v>1720</v>
      </c>
      <c r="G392" s="484" t="str">
        <f t="shared" si="38"/>
        <v>16/12/2003</v>
      </c>
      <c r="H392" s="485">
        <v>16</v>
      </c>
      <c r="I392" s="485">
        <v>12</v>
      </c>
      <c r="J392" s="486">
        <v>2003</v>
      </c>
      <c r="K392" s="483" t="s">
        <v>30</v>
      </c>
      <c r="L392" s="483">
        <v>5463</v>
      </c>
      <c r="M392" s="483" t="s">
        <v>869</v>
      </c>
      <c r="N392" s="493">
        <v>3440</v>
      </c>
      <c r="O392" s="168"/>
      <c r="Q392" s="488">
        <v>10</v>
      </c>
      <c r="R392" s="489">
        <f t="shared" si="36"/>
        <v>28.658333333333331</v>
      </c>
      <c r="S392" s="490">
        <f>X392*R392</f>
        <v>3439</v>
      </c>
      <c r="T392" s="490">
        <f t="shared" si="37"/>
        <v>1</v>
      </c>
      <c r="U392" s="488">
        <v>2894</v>
      </c>
      <c r="V392" s="491"/>
      <c r="W392" s="490"/>
      <c r="X392" s="492">
        <f t="shared" si="39"/>
        <v>120</v>
      </c>
    </row>
    <row r="393" spans="1:24" s="221" customFormat="1">
      <c r="A393" s="226" t="s">
        <v>1762</v>
      </c>
      <c r="B393" s="226" t="s">
        <v>1761</v>
      </c>
      <c r="C393" s="226"/>
      <c r="D393" s="226"/>
      <c r="E393" s="226"/>
      <c r="F393" s="226" t="s">
        <v>1760</v>
      </c>
      <c r="G393" s="220" t="str">
        <f t="shared" si="38"/>
        <v>20/9/2002</v>
      </c>
      <c r="H393" s="242">
        <v>20</v>
      </c>
      <c r="I393" s="242">
        <v>9</v>
      </c>
      <c r="J393" s="225">
        <v>2002</v>
      </c>
      <c r="K393" s="226" t="s">
        <v>30</v>
      </c>
      <c r="L393" s="226">
        <v>5446</v>
      </c>
      <c r="M393" s="226" t="s">
        <v>869</v>
      </c>
      <c r="N393" s="230">
        <v>2525</v>
      </c>
      <c r="O393" s="230" t="s">
        <v>593</v>
      </c>
      <c r="Q393" s="221">
        <v>10</v>
      </c>
      <c r="R393" s="112">
        <f t="shared" ref="R393:R456" si="40">(((N393)-1)/10)/12</f>
        <v>21.033333333333335</v>
      </c>
      <c r="S393" s="223">
        <f>X393*R393</f>
        <v>2524</v>
      </c>
      <c r="T393" s="223">
        <f t="shared" si="37"/>
        <v>1</v>
      </c>
      <c r="U393" s="221">
        <v>877</v>
      </c>
      <c r="V393" s="233"/>
      <c r="W393" s="223"/>
      <c r="X393" s="196">
        <f t="shared" si="39"/>
        <v>120</v>
      </c>
    </row>
    <row r="394" spans="1:24" s="221" customFormat="1">
      <c r="A394" s="226" t="s">
        <v>1759</v>
      </c>
      <c r="B394" s="226" t="s">
        <v>1757</v>
      </c>
      <c r="C394" s="226"/>
      <c r="D394" s="226"/>
      <c r="E394" s="226"/>
      <c r="F394" s="226"/>
      <c r="G394" s="220" t="str">
        <f t="shared" si="38"/>
        <v>//</v>
      </c>
      <c r="H394" s="242"/>
      <c r="I394" s="242"/>
      <c r="J394" s="225"/>
      <c r="K394" s="226"/>
      <c r="L394" s="225"/>
      <c r="M394" s="226" t="s">
        <v>869</v>
      </c>
      <c r="N394" s="230">
        <v>1</v>
      </c>
      <c r="O394" s="230" t="s">
        <v>593</v>
      </c>
      <c r="Q394" s="221">
        <v>10</v>
      </c>
      <c r="R394" s="112">
        <f t="shared" si="40"/>
        <v>0</v>
      </c>
      <c r="S394" s="223">
        <v>0</v>
      </c>
      <c r="T394" s="223">
        <f t="shared" ref="T394:T457" si="41">N394-S394</f>
        <v>1</v>
      </c>
      <c r="V394" s="233"/>
      <c r="W394" s="223"/>
      <c r="X394" s="196" t="e">
        <f t="shared" si="39"/>
        <v>#VALUE!</v>
      </c>
    </row>
    <row r="395" spans="1:24" s="221" customFormat="1">
      <c r="A395" s="226" t="s">
        <v>1758</v>
      </c>
      <c r="B395" s="226" t="s">
        <v>1757</v>
      </c>
      <c r="C395" s="226"/>
      <c r="D395" s="226"/>
      <c r="E395" s="226"/>
      <c r="F395" s="226"/>
      <c r="G395" s="220" t="str">
        <f t="shared" si="38"/>
        <v>//</v>
      </c>
      <c r="H395" s="242"/>
      <c r="I395" s="242"/>
      <c r="J395" s="225"/>
      <c r="K395" s="226"/>
      <c r="L395" s="225"/>
      <c r="M395" s="226" t="s">
        <v>869</v>
      </c>
      <c r="N395" s="230">
        <v>1</v>
      </c>
      <c r="O395" s="230" t="s">
        <v>593</v>
      </c>
      <c r="Q395" s="221">
        <v>10</v>
      </c>
      <c r="R395" s="112">
        <f t="shared" si="40"/>
        <v>0</v>
      </c>
      <c r="S395" s="223">
        <v>0</v>
      </c>
      <c r="T395" s="223">
        <f t="shared" si="41"/>
        <v>1</v>
      </c>
      <c r="V395" s="233"/>
      <c r="W395" s="223"/>
      <c r="X395" s="196" t="e">
        <f t="shared" si="39"/>
        <v>#VALUE!</v>
      </c>
    </row>
    <row r="396" spans="1:24" s="221" customFormat="1">
      <c r="A396" s="226" t="s">
        <v>1756</v>
      </c>
      <c r="B396" s="226" t="s">
        <v>1754</v>
      </c>
      <c r="C396" s="226"/>
      <c r="D396" s="226"/>
      <c r="E396" s="226"/>
      <c r="F396" s="226" t="s">
        <v>1421</v>
      </c>
      <c r="G396" s="220" t="str">
        <f t="shared" si="38"/>
        <v>6/11/2003</v>
      </c>
      <c r="H396" s="242">
        <v>6</v>
      </c>
      <c r="I396" s="242">
        <v>11</v>
      </c>
      <c r="J396" s="225">
        <v>2003</v>
      </c>
      <c r="K396" s="226" t="s">
        <v>30</v>
      </c>
      <c r="L396" s="226">
        <v>6502</v>
      </c>
      <c r="M396" s="226" t="s">
        <v>869</v>
      </c>
      <c r="N396" s="230">
        <v>3905</v>
      </c>
      <c r="O396" s="230" t="s">
        <v>1751</v>
      </c>
      <c r="Q396" s="221">
        <v>10</v>
      </c>
      <c r="R396" s="112">
        <f t="shared" si="40"/>
        <v>32.533333333333331</v>
      </c>
      <c r="S396" s="223">
        <f t="shared" ref="S396:S421" si="42">X396*R396</f>
        <v>3904</v>
      </c>
      <c r="T396" s="223">
        <f t="shared" si="41"/>
        <v>1</v>
      </c>
      <c r="U396" s="221">
        <v>1559</v>
      </c>
      <c r="V396" s="233"/>
      <c r="W396" s="223"/>
      <c r="X396" s="196">
        <f t="shared" si="39"/>
        <v>120</v>
      </c>
    </row>
    <row r="397" spans="1:24" s="221" customFormat="1">
      <c r="A397" s="226" t="s">
        <v>1755</v>
      </c>
      <c r="B397" s="226" t="s">
        <v>1754</v>
      </c>
      <c r="C397" s="226"/>
      <c r="D397" s="226"/>
      <c r="E397" s="226"/>
      <c r="F397" s="226" t="s">
        <v>1421</v>
      </c>
      <c r="G397" s="220" t="str">
        <f t="shared" si="38"/>
        <v>6/11/2003</v>
      </c>
      <c r="H397" s="242">
        <v>6</v>
      </c>
      <c r="I397" s="242">
        <v>11</v>
      </c>
      <c r="J397" s="225">
        <v>2003</v>
      </c>
      <c r="K397" s="226" t="s">
        <v>30</v>
      </c>
      <c r="L397" s="226">
        <v>6502</v>
      </c>
      <c r="M397" s="226" t="s">
        <v>869</v>
      </c>
      <c r="N397" s="230">
        <v>3905</v>
      </c>
      <c r="O397" s="230" t="s">
        <v>1751</v>
      </c>
      <c r="Q397" s="221">
        <v>10</v>
      </c>
      <c r="R397" s="112">
        <f t="shared" si="40"/>
        <v>32.533333333333331</v>
      </c>
      <c r="S397" s="223">
        <f t="shared" si="42"/>
        <v>3904</v>
      </c>
      <c r="T397" s="223">
        <f t="shared" si="41"/>
        <v>1</v>
      </c>
      <c r="U397" s="221">
        <v>1559</v>
      </c>
      <c r="V397" s="233"/>
      <c r="W397" s="223"/>
      <c r="X397" s="196">
        <f t="shared" si="39"/>
        <v>120</v>
      </c>
    </row>
    <row r="398" spans="1:24" s="221" customFormat="1">
      <c r="A398" s="226" t="s">
        <v>1755</v>
      </c>
      <c r="B398" s="226" t="s">
        <v>1754</v>
      </c>
      <c r="C398" s="226"/>
      <c r="D398" s="226"/>
      <c r="E398" s="226"/>
      <c r="F398" s="226" t="s">
        <v>1421</v>
      </c>
      <c r="G398" s="220" t="str">
        <f t="shared" si="38"/>
        <v>6/11/2003</v>
      </c>
      <c r="H398" s="242">
        <v>6</v>
      </c>
      <c r="I398" s="242">
        <v>11</v>
      </c>
      <c r="J398" s="225">
        <v>2003</v>
      </c>
      <c r="K398" s="226" t="s">
        <v>30</v>
      </c>
      <c r="L398" s="226">
        <v>6502</v>
      </c>
      <c r="M398" s="226" t="s">
        <v>869</v>
      </c>
      <c r="N398" s="230">
        <v>3905</v>
      </c>
      <c r="O398" s="230" t="s">
        <v>1751</v>
      </c>
      <c r="Q398" s="221">
        <v>10</v>
      </c>
      <c r="R398" s="112">
        <f t="shared" si="40"/>
        <v>32.533333333333331</v>
      </c>
      <c r="S398" s="223">
        <f t="shared" si="42"/>
        <v>3904</v>
      </c>
      <c r="T398" s="223">
        <f t="shared" si="41"/>
        <v>1</v>
      </c>
      <c r="U398" s="221">
        <v>1559</v>
      </c>
      <c r="V398" s="233"/>
      <c r="W398" s="223"/>
      <c r="X398" s="196">
        <f t="shared" si="39"/>
        <v>120</v>
      </c>
    </row>
    <row r="399" spans="1:24" s="221" customFormat="1">
      <c r="A399" s="226" t="s">
        <v>1753</v>
      </c>
      <c r="B399" s="226" t="s">
        <v>1752</v>
      </c>
      <c r="C399" s="226"/>
      <c r="D399" s="226"/>
      <c r="E399" s="226"/>
      <c r="F399" s="226" t="s">
        <v>1421</v>
      </c>
      <c r="G399" s="220" t="str">
        <f t="shared" si="38"/>
        <v>6/11/2003</v>
      </c>
      <c r="H399" s="242">
        <v>6</v>
      </c>
      <c r="I399" s="242">
        <v>11</v>
      </c>
      <c r="J399" s="225">
        <v>2003</v>
      </c>
      <c r="K399" s="226" t="s">
        <v>30</v>
      </c>
      <c r="L399" s="226">
        <v>6502</v>
      </c>
      <c r="M399" s="226" t="s">
        <v>869</v>
      </c>
      <c r="N399" s="168">
        <v>3905</v>
      </c>
      <c r="O399" s="168" t="s">
        <v>1751</v>
      </c>
      <c r="Q399" s="221">
        <v>10</v>
      </c>
      <c r="R399" s="112">
        <f t="shared" si="40"/>
        <v>32.533333333333331</v>
      </c>
      <c r="S399" s="223">
        <f t="shared" si="42"/>
        <v>3904</v>
      </c>
      <c r="T399" s="223">
        <f t="shared" si="41"/>
        <v>1</v>
      </c>
      <c r="U399" s="221">
        <v>1559</v>
      </c>
      <c r="V399" s="233"/>
      <c r="W399" s="223"/>
      <c r="X399" s="196">
        <f t="shared" si="39"/>
        <v>120</v>
      </c>
    </row>
    <row r="400" spans="1:24" s="221" customFormat="1">
      <c r="A400" s="483" t="s">
        <v>1750</v>
      </c>
      <c r="B400" s="483" t="s">
        <v>1748</v>
      </c>
      <c r="C400" s="483"/>
      <c r="D400" s="483"/>
      <c r="E400" s="483"/>
      <c r="F400" s="483" t="s">
        <v>1421</v>
      </c>
      <c r="G400" s="484" t="str">
        <f t="shared" si="38"/>
        <v>6/11/2003</v>
      </c>
      <c r="H400" s="485">
        <v>6</v>
      </c>
      <c r="I400" s="485">
        <v>11</v>
      </c>
      <c r="J400" s="486">
        <v>2003</v>
      </c>
      <c r="K400" s="483" t="s">
        <v>30</v>
      </c>
      <c r="L400" s="483">
        <v>6502</v>
      </c>
      <c r="M400" s="483" t="s">
        <v>869</v>
      </c>
      <c r="N400" s="487">
        <v>3905</v>
      </c>
      <c r="O400" s="230"/>
      <c r="Q400" s="488">
        <v>10</v>
      </c>
      <c r="R400" s="489">
        <f t="shared" si="40"/>
        <v>32.533333333333331</v>
      </c>
      <c r="S400" s="490">
        <f t="shared" si="42"/>
        <v>3904</v>
      </c>
      <c r="T400" s="490">
        <f t="shared" si="41"/>
        <v>1</v>
      </c>
      <c r="U400" s="488">
        <v>1559</v>
      </c>
      <c r="V400" s="491"/>
      <c r="W400" s="490"/>
      <c r="X400" s="492">
        <f t="shared" si="39"/>
        <v>120</v>
      </c>
    </row>
    <row r="401" spans="1:24" s="221" customFormat="1">
      <c r="A401" s="226" t="s">
        <v>1749</v>
      </c>
      <c r="B401" s="226" t="s">
        <v>1748</v>
      </c>
      <c r="C401" s="226"/>
      <c r="D401" s="226"/>
      <c r="E401" s="226"/>
      <c r="F401" s="226" t="s">
        <v>1421</v>
      </c>
      <c r="G401" s="220" t="str">
        <f t="shared" si="38"/>
        <v>6/11/2003</v>
      </c>
      <c r="H401" s="242">
        <v>6</v>
      </c>
      <c r="I401" s="242">
        <v>11</v>
      </c>
      <c r="J401" s="225">
        <v>2003</v>
      </c>
      <c r="K401" s="226" t="s">
        <v>30</v>
      </c>
      <c r="L401" s="226">
        <v>6502</v>
      </c>
      <c r="M401" s="226" t="s">
        <v>869</v>
      </c>
      <c r="N401" s="230">
        <v>3905</v>
      </c>
      <c r="O401" s="230" t="s">
        <v>1747</v>
      </c>
      <c r="Q401" s="221">
        <v>10</v>
      </c>
      <c r="R401" s="112">
        <f t="shared" si="40"/>
        <v>32.533333333333331</v>
      </c>
      <c r="S401" s="223">
        <f t="shared" si="42"/>
        <v>3904</v>
      </c>
      <c r="T401" s="223">
        <f t="shared" si="41"/>
        <v>1</v>
      </c>
      <c r="U401" s="221">
        <v>1559</v>
      </c>
      <c r="V401" s="233"/>
      <c r="W401" s="223"/>
      <c r="X401" s="196">
        <f t="shared" si="39"/>
        <v>120</v>
      </c>
    </row>
    <row r="402" spans="1:24" s="221" customFormat="1">
      <c r="A402" s="226" t="s">
        <v>1746</v>
      </c>
      <c r="B402" s="226" t="str">
        <f>+B401</f>
        <v>Sillón Victoria C/B, Ajust, color negro</v>
      </c>
      <c r="C402" s="226"/>
      <c r="D402" s="226"/>
      <c r="E402" s="226"/>
      <c r="F402" s="226" t="str">
        <f>+F401</f>
        <v>Dominicana de Oficina, S.A.</v>
      </c>
      <c r="G402" s="220" t="str">
        <f t="shared" si="38"/>
        <v>6/11/2003</v>
      </c>
      <c r="H402" s="242">
        <v>6</v>
      </c>
      <c r="I402" s="242">
        <v>11</v>
      </c>
      <c r="J402" s="225">
        <v>2003</v>
      </c>
      <c r="K402" s="226" t="s">
        <v>30</v>
      </c>
      <c r="L402" s="226">
        <v>6502</v>
      </c>
      <c r="M402" s="226" t="s">
        <v>869</v>
      </c>
      <c r="N402" s="230">
        <v>3905</v>
      </c>
      <c r="O402" s="230"/>
      <c r="Q402" s="221">
        <v>10</v>
      </c>
      <c r="R402" s="112">
        <f t="shared" si="40"/>
        <v>32.533333333333331</v>
      </c>
      <c r="S402" s="223">
        <f t="shared" si="42"/>
        <v>3904</v>
      </c>
      <c r="T402" s="223">
        <f t="shared" si="41"/>
        <v>1</v>
      </c>
      <c r="U402" s="221">
        <v>1559</v>
      </c>
      <c r="V402" s="233"/>
      <c r="W402" s="223"/>
      <c r="X402" s="196">
        <f t="shared" si="39"/>
        <v>120</v>
      </c>
    </row>
    <row r="403" spans="1:24" s="221" customFormat="1">
      <c r="A403" s="226" t="s">
        <v>1745</v>
      </c>
      <c r="B403" s="226" t="s">
        <v>1744</v>
      </c>
      <c r="C403" s="226"/>
      <c r="D403" s="226" t="s">
        <v>1740</v>
      </c>
      <c r="E403" s="226"/>
      <c r="F403" s="226" t="s">
        <v>1739</v>
      </c>
      <c r="G403" s="220" t="str">
        <f t="shared" si="38"/>
        <v>28/11/2003</v>
      </c>
      <c r="H403" s="242">
        <v>28</v>
      </c>
      <c r="I403" s="242">
        <v>11</v>
      </c>
      <c r="J403" s="225">
        <v>2003</v>
      </c>
      <c r="K403" s="226" t="s">
        <v>1510</v>
      </c>
      <c r="L403" s="226">
        <v>698</v>
      </c>
      <c r="M403" s="226" t="s">
        <v>869</v>
      </c>
      <c r="N403" s="230">
        <v>14500</v>
      </c>
      <c r="O403" s="230"/>
      <c r="Q403" s="221">
        <v>10</v>
      </c>
      <c r="R403" s="112">
        <f t="shared" si="40"/>
        <v>120.825</v>
      </c>
      <c r="S403" s="223">
        <f t="shared" si="42"/>
        <v>14499</v>
      </c>
      <c r="T403" s="223">
        <f t="shared" si="41"/>
        <v>1</v>
      </c>
      <c r="U403" s="221">
        <v>2534</v>
      </c>
      <c r="V403" s="233"/>
      <c r="W403" s="223"/>
      <c r="X403" s="196">
        <f t="shared" si="39"/>
        <v>120</v>
      </c>
    </row>
    <row r="404" spans="1:24" s="221" customFormat="1">
      <c r="A404" s="226" t="s">
        <v>1743</v>
      </c>
      <c r="B404" s="226" t="s">
        <v>1741</v>
      </c>
      <c r="C404" s="226"/>
      <c r="D404" s="226" t="s">
        <v>1740</v>
      </c>
      <c r="E404" s="226"/>
      <c r="F404" s="226" t="s">
        <v>1739</v>
      </c>
      <c r="G404" s="220" t="str">
        <f t="shared" si="38"/>
        <v>28/11/2003</v>
      </c>
      <c r="H404" s="242">
        <v>28</v>
      </c>
      <c r="I404" s="242">
        <v>11</v>
      </c>
      <c r="J404" s="225">
        <v>2003</v>
      </c>
      <c r="K404" s="226" t="s">
        <v>1510</v>
      </c>
      <c r="L404" s="226">
        <v>698</v>
      </c>
      <c r="M404" s="226" t="s">
        <v>869</v>
      </c>
      <c r="N404" s="230">
        <v>7500</v>
      </c>
      <c r="O404" s="230" t="s">
        <v>1738</v>
      </c>
      <c r="Q404" s="221">
        <v>10</v>
      </c>
      <c r="R404" s="112">
        <f t="shared" si="40"/>
        <v>62.491666666666667</v>
      </c>
      <c r="S404" s="223">
        <f t="shared" si="42"/>
        <v>7499</v>
      </c>
      <c r="T404" s="223">
        <f t="shared" si="41"/>
        <v>1</v>
      </c>
      <c r="U404" s="221">
        <v>2534</v>
      </c>
      <c r="V404" s="233"/>
      <c r="W404" s="223"/>
      <c r="X404" s="196">
        <f t="shared" si="39"/>
        <v>120</v>
      </c>
    </row>
    <row r="405" spans="1:24" s="221" customFormat="1">
      <c r="A405" s="226" t="s">
        <v>1742</v>
      </c>
      <c r="B405" s="226" t="s">
        <v>1741</v>
      </c>
      <c r="C405" s="226"/>
      <c r="D405" s="226" t="s">
        <v>1740</v>
      </c>
      <c r="E405" s="226"/>
      <c r="F405" s="226" t="s">
        <v>1739</v>
      </c>
      <c r="G405" s="220" t="str">
        <f t="shared" si="38"/>
        <v>28/11/2003</v>
      </c>
      <c r="H405" s="242">
        <v>28</v>
      </c>
      <c r="I405" s="242">
        <v>11</v>
      </c>
      <c r="J405" s="225">
        <v>2003</v>
      </c>
      <c r="K405" s="226" t="s">
        <v>1510</v>
      </c>
      <c r="L405" s="226">
        <v>698</v>
      </c>
      <c r="M405" s="226" t="s">
        <v>869</v>
      </c>
      <c r="N405" s="230">
        <v>7500</v>
      </c>
      <c r="O405" s="230" t="s">
        <v>1738</v>
      </c>
      <c r="Q405" s="221">
        <v>10</v>
      </c>
      <c r="R405" s="112">
        <f t="shared" si="40"/>
        <v>62.491666666666667</v>
      </c>
      <c r="S405" s="223">
        <f t="shared" si="42"/>
        <v>7499</v>
      </c>
      <c r="T405" s="223">
        <f t="shared" si="41"/>
        <v>1</v>
      </c>
      <c r="U405" s="221">
        <v>2534</v>
      </c>
      <c r="V405" s="233"/>
      <c r="W405" s="223"/>
      <c r="X405" s="196">
        <f t="shared" si="39"/>
        <v>120</v>
      </c>
    </row>
    <row r="406" spans="1:24" s="221" customFormat="1">
      <c r="A406" s="226" t="s">
        <v>1737</v>
      </c>
      <c r="B406" s="226" t="s">
        <v>1736</v>
      </c>
      <c r="C406" s="226"/>
      <c r="D406" s="226"/>
      <c r="E406" s="226"/>
      <c r="F406" s="226" t="s">
        <v>1724</v>
      </c>
      <c r="G406" s="220" t="str">
        <f t="shared" si="38"/>
        <v>13/2/2004</v>
      </c>
      <c r="H406" s="242">
        <v>13</v>
      </c>
      <c r="I406" s="242">
        <v>2</v>
      </c>
      <c r="J406" s="225">
        <v>2004</v>
      </c>
      <c r="K406" s="226" t="s">
        <v>30</v>
      </c>
      <c r="L406" s="226">
        <v>4921</v>
      </c>
      <c r="M406" s="226" t="s">
        <v>869</v>
      </c>
      <c r="N406" s="168">
        <v>2661.79</v>
      </c>
      <c r="O406" s="168"/>
      <c r="Q406" s="221">
        <v>10</v>
      </c>
      <c r="R406" s="112">
        <f t="shared" si="40"/>
        <v>22.173249999999999</v>
      </c>
      <c r="S406" s="223">
        <f t="shared" si="42"/>
        <v>2660.79</v>
      </c>
      <c r="T406" s="223">
        <f t="shared" si="41"/>
        <v>1</v>
      </c>
      <c r="U406" s="221">
        <v>3249</v>
      </c>
      <c r="V406" s="233"/>
      <c r="W406" s="223"/>
      <c r="X406" s="196">
        <f t="shared" si="39"/>
        <v>120</v>
      </c>
    </row>
    <row r="407" spans="1:24" s="221" customFormat="1">
      <c r="A407" s="226" t="s">
        <v>1735</v>
      </c>
      <c r="B407" s="226" t="str">
        <f>+B406</f>
        <v>Sistema Reclinable Neumático</v>
      </c>
      <c r="C407" s="226"/>
      <c r="D407" s="226"/>
      <c r="E407" s="226"/>
      <c r="F407" s="226" t="s">
        <v>1724</v>
      </c>
      <c r="G407" s="220" t="str">
        <f t="shared" si="38"/>
        <v>13/2/2004</v>
      </c>
      <c r="H407" s="242">
        <v>13</v>
      </c>
      <c r="I407" s="242">
        <v>2</v>
      </c>
      <c r="J407" s="225">
        <v>2004</v>
      </c>
      <c r="K407" s="226" t="s">
        <v>30</v>
      </c>
      <c r="L407" s="226">
        <v>4921</v>
      </c>
      <c r="M407" s="226" t="s">
        <v>869</v>
      </c>
      <c r="N407" s="168">
        <v>2661.79</v>
      </c>
      <c r="O407" s="168"/>
      <c r="Q407" s="221">
        <v>10</v>
      </c>
      <c r="R407" s="112">
        <f t="shared" si="40"/>
        <v>22.173249999999999</v>
      </c>
      <c r="S407" s="223">
        <f t="shared" si="42"/>
        <v>2660.79</v>
      </c>
      <c r="T407" s="223">
        <f t="shared" si="41"/>
        <v>1</v>
      </c>
      <c r="U407" s="249">
        <v>3249</v>
      </c>
      <c r="V407" s="233"/>
      <c r="W407" s="223"/>
      <c r="X407" s="196">
        <f t="shared" si="39"/>
        <v>120</v>
      </c>
    </row>
    <row r="408" spans="1:24" s="221" customFormat="1">
      <c r="A408" s="226" t="s">
        <v>1734</v>
      </c>
      <c r="B408" s="226" t="s">
        <v>1733</v>
      </c>
      <c r="C408" s="226"/>
      <c r="D408" s="226">
        <f>+D407</f>
        <v>0</v>
      </c>
      <c r="E408" s="226"/>
      <c r="F408" s="226" t="s">
        <v>1732</v>
      </c>
      <c r="G408" s="220" t="str">
        <f t="shared" si="38"/>
        <v>10/10/2003</v>
      </c>
      <c r="H408" s="242">
        <v>10</v>
      </c>
      <c r="I408" s="242">
        <v>10</v>
      </c>
      <c r="J408" s="225">
        <v>2003</v>
      </c>
      <c r="K408" s="226" t="s">
        <v>30</v>
      </c>
      <c r="L408" s="226" t="s">
        <v>1731</v>
      </c>
      <c r="M408" s="226" t="s">
        <v>869</v>
      </c>
      <c r="N408" s="230">
        <v>20544</v>
      </c>
      <c r="O408" s="230"/>
      <c r="Q408" s="221">
        <v>10</v>
      </c>
      <c r="R408" s="112">
        <f t="shared" si="40"/>
        <v>171.19166666666669</v>
      </c>
      <c r="S408" s="223">
        <f t="shared" si="42"/>
        <v>20543.000000000004</v>
      </c>
      <c r="T408" s="223">
        <f t="shared" si="41"/>
        <v>0.99999999999636202</v>
      </c>
      <c r="U408" s="221">
        <v>2165</v>
      </c>
      <c r="V408" s="233"/>
      <c r="W408" s="223"/>
      <c r="X408" s="196">
        <f t="shared" si="39"/>
        <v>120</v>
      </c>
    </row>
    <row r="409" spans="1:24" s="221" customFormat="1">
      <c r="A409" s="226" t="s">
        <v>1730</v>
      </c>
      <c r="B409" s="226" t="s">
        <v>1729</v>
      </c>
      <c r="C409" s="226"/>
      <c r="D409" s="226">
        <v>6251</v>
      </c>
      <c r="E409" s="226"/>
      <c r="F409" s="226" t="s">
        <v>1724</v>
      </c>
      <c r="G409" s="220" t="str">
        <f t="shared" si="38"/>
        <v>17/2/2004</v>
      </c>
      <c r="H409" s="242">
        <v>17</v>
      </c>
      <c r="I409" s="242">
        <v>2</v>
      </c>
      <c r="J409" s="225">
        <v>2004</v>
      </c>
      <c r="K409" s="226" t="s">
        <v>30</v>
      </c>
      <c r="L409" s="226">
        <v>4932</v>
      </c>
      <c r="M409" s="226" t="s">
        <v>869</v>
      </c>
      <c r="N409" s="168">
        <v>36550.080000000002</v>
      </c>
      <c r="O409" s="168"/>
      <c r="Q409" s="221">
        <v>10</v>
      </c>
      <c r="R409" s="112">
        <f t="shared" si="40"/>
        <v>304.57566666666668</v>
      </c>
      <c r="S409" s="223">
        <f t="shared" si="42"/>
        <v>36549.08</v>
      </c>
      <c r="T409" s="223">
        <f t="shared" si="41"/>
        <v>1</v>
      </c>
      <c r="U409" s="221">
        <v>3249</v>
      </c>
      <c r="V409" s="233"/>
      <c r="W409" s="223"/>
      <c r="X409" s="196">
        <f t="shared" si="39"/>
        <v>120</v>
      </c>
    </row>
    <row r="410" spans="1:24" s="221" customFormat="1">
      <c r="A410" s="226" t="s">
        <v>1728</v>
      </c>
      <c r="B410" s="226" t="s">
        <v>1727</v>
      </c>
      <c r="C410" s="226"/>
      <c r="D410" s="226">
        <v>6251</v>
      </c>
      <c r="E410" s="226"/>
      <c r="F410" s="226" t="s">
        <v>1724</v>
      </c>
      <c r="G410" s="220" t="str">
        <f t="shared" si="38"/>
        <v>25/11/2003</v>
      </c>
      <c r="H410" s="242">
        <v>25</v>
      </c>
      <c r="I410" s="242">
        <v>11</v>
      </c>
      <c r="J410" s="225">
        <v>2003</v>
      </c>
      <c r="K410" s="226" t="s">
        <v>30</v>
      </c>
      <c r="L410" s="226" t="s">
        <v>1723</v>
      </c>
      <c r="M410" s="226" t="s">
        <v>869</v>
      </c>
      <c r="N410" s="168">
        <v>24864</v>
      </c>
      <c r="O410" s="243" t="s">
        <v>1726</v>
      </c>
      <c r="P410" s="252"/>
      <c r="Q410" s="221">
        <v>10</v>
      </c>
      <c r="R410" s="112">
        <f t="shared" si="40"/>
        <v>207.19166666666669</v>
      </c>
      <c r="S410" s="223">
        <f t="shared" si="42"/>
        <v>24863.000000000004</v>
      </c>
      <c r="T410" s="223">
        <f t="shared" si="41"/>
        <v>0.99999999999636202</v>
      </c>
      <c r="U410" s="221">
        <v>2504</v>
      </c>
      <c r="V410" s="233"/>
      <c r="W410" s="223"/>
      <c r="X410" s="196">
        <f t="shared" si="39"/>
        <v>120</v>
      </c>
    </row>
    <row r="411" spans="1:24" s="221" customFormat="1">
      <c r="A411" s="226" t="s">
        <v>1725</v>
      </c>
      <c r="B411" s="226" t="str">
        <f>+B410</f>
        <v>Sofá para 2 personas tapizado en piel color negro</v>
      </c>
      <c r="C411" s="226"/>
      <c r="D411" s="226">
        <v>6251</v>
      </c>
      <c r="E411" s="226"/>
      <c r="F411" s="226" t="s">
        <v>1724</v>
      </c>
      <c r="G411" s="220" t="str">
        <f t="shared" si="38"/>
        <v>25/11/2003</v>
      </c>
      <c r="H411" s="242">
        <v>25</v>
      </c>
      <c r="I411" s="242">
        <v>11</v>
      </c>
      <c r="J411" s="225">
        <v>2003</v>
      </c>
      <c r="K411" s="226" t="s">
        <v>30</v>
      </c>
      <c r="L411" s="226" t="s">
        <v>1723</v>
      </c>
      <c r="M411" s="226" t="s">
        <v>869</v>
      </c>
      <c r="N411" s="168">
        <v>24864</v>
      </c>
      <c r="O411" s="168"/>
      <c r="P411" s="252"/>
      <c r="Q411" s="221">
        <v>10</v>
      </c>
      <c r="R411" s="112">
        <f t="shared" si="40"/>
        <v>207.19166666666669</v>
      </c>
      <c r="S411" s="223">
        <f t="shared" si="42"/>
        <v>24863.000000000004</v>
      </c>
      <c r="T411" s="223">
        <f t="shared" si="41"/>
        <v>0.99999999999636202</v>
      </c>
      <c r="U411" s="221">
        <v>2504</v>
      </c>
      <c r="V411" s="233"/>
      <c r="W411" s="223"/>
      <c r="X411" s="196">
        <f t="shared" si="39"/>
        <v>120</v>
      </c>
    </row>
    <row r="412" spans="1:24" s="221" customFormat="1">
      <c r="A412" s="226" t="s">
        <v>1722</v>
      </c>
      <c r="B412" s="226" t="s">
        <v>1721</v>
      </c>
      <c r="C412" s="226"/>
      <c r="D412" s="226"/>
      <c r="E412" s="226"/>
      <c r="F412" s="226" t="s">
        <v>1720</v>
      </c>
      <c r="G412" s="220" t="str">
        <f t="shared" si="38"/>
        <v>26/11/2007</v>
      </c>
      <c r="H412" s="242">
        <v>26</v>
      </c>
      <c r="I412" s="242">
        <v>11</v>
      </c>
      <c r="J412" s="225">
        <v>2007</v>
      </c>
      <c r="K412" s="226" t="s">
        <v>1510</v>
      </c>
      <c r="L412" s="226">
        <v>1913</v>
      </c>
      <c r="M412" s="226" t="s">
        <v>869</v>
      </c>
      <c r="N412" s="230">
        <v>3990.4</v>
      </c>
      <c r="O412" s="230"/>
      <c r="Q412" s="221">
        <v>10</v>
      </c>
      <c r="R412" s="112">
        <f t="shared" si="40"/>
        <v>33.244999999999997</v>
      </c>
      <c r="S412" s="223">
        <f t="shared" si="42"/>
        <v>2559.8649999999998</v>
      </c>
      <c r="T412" s="223">
        <f t="shared" si="41"/>
        <v>1430.5350000000003</v>
      </c>
      <c r="U412" s="221">
        <v>10391</v>
      </c>
      <c r="V412" s="233"/>
      <c r="W412" s="223"/>
      <c r="X412" s="196">
        <f t="shared" si="39"/>
        <v>77</v>
      </c>
    </row>
    <row r="413" spans="1:24" s="221" customFormat="1">
      <c r="A413" s="226" t="s">
        <v>1719</v>
      </c>
      <c r="B413" s="226" t="s">
        <v>1718</v>
      </c>
      <c r="C413" s="226"/>
      <c r="D413" s="226"/>
      <c r="E413" s="226"/>
      <c r="F413" s="226" t="s">
        <v>1712</v>
      </c>
      <c r="G413" s="220" t="str">
        <f t="shared" si="38"/>
        <v>23/12/2007</v>
      </c>
      <c r="H413" s="242">
        <v>23</v>
      </c>
      <c r="I413" s="242">
        <v>12</v>
      </c>
      <c r="J413" s="225">
        <v>2007</v>
      </c>
      <c r="K413" s="226" t="s">
        <v>30</v>
      </c>
      <c r="L413" s="225">
        <v>2</v>
      </c>
      <c r="M413" s="226" t="s">
        <v>869</v>
      </c>
      <c r="N413" s="230">
        <v>4060</v>
      </c>
      <c r="O413" s="230" t="s">
        <v>1420</v>
      </c>
      <c r="Q413" s="221">
        <v>10</v>
      </c>
      <c r="R413" s="112">
        <f t="shared" si="40"/>
        <v>33.824999999999996</v>
      </c>
      <c r="S413" s="223">
        <f t="shared" si="42"/>
        <v>2570.6999999999998</v>
      </c>
      <c r="T413" s="223">
        <f t="shared" si="41"/>
        <v>1489.3000000000002</v>
      </c>
      <c r="U413" s="221">
        <v>9257</v>
      </c>
      <c r="V413" s="233"/>
      <c r="W413" s="223"/>
      <c r="X413" s="196">
        <f t="shared" si="39"/>
        <v>76</v>
      </c>
    </row>
    <row r="414" spans="1:24" s="221" customFormat="1">
      <c r="A414" s="226" t="s">
        <v>1717</v>
      </c>
      <c r="B414" s="226" t="s">
        <v>1715</v>
      </c>
      <c r="C414" s="226"/>
      <c r="D414" s="226"/>
      <c r="E414" s="226"/>
      <c r="F414" s="226" t="s">
        <v>1712</v>
      </c>
      <c r="G414" s="220" t="str">
        <f t="shared" si="38"/>
        <v>23/12/2007</v>
      </c>
      <c r="H414" s="242">
        <v>23</v>
      </c>
      <c r="I414" s="242">
        <v>12</v>
      </c>
      <c r="J414" s="225">
        <v>2007</v>
      </c>
      <c r="K414" s="226" t="s">
        <v>30</v>
      </c>
      <c r="L414" s="225">
        <v>2</v>
      </c>
      <c r="M414" s="226" t="s">
        <v>869</v>
      </c>
      <c r="N414" s="168">
        <v>4872</v>
      </c>
      <c r="O414" s="243" t="s">
        <v>1420</v>
      </c>
      <c r="Q414" s="221">
        <v>10</v>
      </c>
      <c r="R414" s="112">
        <f t="shared" si="40"/>
        <v>40.591666666666669</v>
      </c>
      <c r="S414" s="223">
        <f t="shared" si="42"/>
        <v>3084.9666666666667</v>
      </c>
      <c r="T414" s="223">
        <f t="shared" si="41"/>
        <v>1787.0333333333333</v>
      </c>
      <c r="U414" s="221">
        <v>9257</v>
      </c>
      <c r="V414" s="233"/>
      <c r="W414" s="223"/>
      <c r="X414" s="196">
        <f t="shared" si="39"/>
        <v>76</v>
      </c>
    </row>
    <row r="415" spans="1:24" s="221" customFormat="1">
      <c r="A415" s="226" t="s">
        <v>1716</v>
      </c>
      <c r="B415" s="226" t="s">
        <v>1715</v>
      </c>
      <c r="C415" s="226"/>
      <c r="D415" s="226"/>
      <c r="E415" s="226"/>
      <c r="F415" s="226" t="s">
        <v>1712</v>
      </c>
      <c r="G415" s="220" t="str">
        <f t="shared" si="38"/>
        <v>23/12/2007</v>
      </c>
      <c r="H415" s="242">
        <v>23</v>
      </c>
      <c r="I415" s="242">
        <v>12</v>
      </c>
      <c r="J415" s="225">
        <v>2007</v>
      </c>
      <c r="K415" s="226" t="s">
        <v>30</v>
      </c>
      <c r="L415" s="225">
        <v>2</v>
      </c>
      <c r="M415" s="226" t="s">
        <v>869</v>
      </c>
      <c r="N415" s="168">
        <v>4872</v>
      </c>
      <c r="O415" s="243" t="s">
        <v>1420</v>
      </c>
      <c r="Q415" s="221">
        <v>10</v>
      </c>
      <c r="R415" s="112">
        <f t="shared" si="40"/>
        <v>40.591666666666669</v>
      </c>
      <c r="S415" s="223">
        <f t="shared" si="42"/>
        <v>3084.9666666666667</v>
      </c>
      <c r="T415" s="223">
        <f t="shared" si="41"/>
        <v>1787.0333333333333</v>
      </c>
      <c r="U415" s="221">
        <v>9257</v>
      </c>
      <c r="V415" s="233"/>
      <c r="W415" s="223"/>
      <c r="X415" s="196">
        <f t="shared" si="39"/>
        <v>76</v>
      </c>
    </row>
    <row r="416" spans="1:24" s="221" customFormat="1">
      <c r="A416" s="226" t="s">
        <v>1714</v>
      </c>
      <c r="B416" s="226" t="s">
        <v>1713</v>
      </c>
      <c r="C416" s="226"/>
      <c r="D416" s="226"/>
      <c r="E416" s="226"/>
      <c r="F416" s="226" t="s">
        <v>1712</v>
      </c>
      <c r="G416" s="220" t="str">
        <f t="shared" si="38"/>
        <v>23/12/2007</v>
      </c>
      <c r="H416" s="242">
        <v>23</v>
      </c>
      <c r="I416" s="242">
        <v>12</v>
      </c>
      <c r="J416" s="225">
        <v>2007</v>
      </c>
      <c r="K416" s="226" t="s">
        <v>30</v>
      </c>
      <c r="L416" s="225">
        <v>2</v>
      </c>
      <c r="M416" s="226" t="s">
        <v>869</v>
      </c>
      <c r="N416" s="168">
        <v>5336</v>
      </c>
      <c r="O416" s="168"/>
      <c r="Q416" s="221">
        <v>10</v>
      </c>
      <c r="R416" s="112">
        <f t="shared" si="40"/>
        <v>44.458333333333336</v>
      </c>
      <c r="S416" s="223">
        <f t="shared" si="42"/>
        <v>3378.8333333333335</v>
      </c>
      <c r="T416" s="223">
        <f t="shared" si="41"/>
        <v>1957.1666666666665</v>
      </c>
      <c r="U416" s="221">
        <v>9257</v>
      </c>
      <c r="V416" s="233"/>
      <c r="W416" s="223"/>
      <c r="X416" s="196">
        <f t="shared" si="39"/>
        <v>76</v>
      </c>
    </row>
    <row r="417" spans="1:24" s="221" customFormat="1">
      <c r="A417" s="226" t="s">
        <v>1711</v>
      </c>
      <c r="B417" s="226" t="s">
        <v>1710</v>
      </c>
      <c r="C417" s="226"/>
      <c r="D417" s="226"/>
      <c r="E417" s="226"/>
      <c r="F417" s="226" t="s">
        <v>1707</v>
      </c>
      <c r="G417" s="220" t="str">
        <f t="shared" si="38"/>
        <v>19/3/2007</v>
      </c>
      <c r="H417" s="242">
        <v>19</v>
      </c>
      <c r="I417" s="242">
        <v>3</v>
      </c>
      <c r="J417" s="225">
        <v>2007</v>
      </c>
      <c r="K417" s="226" t="s">
        <v>30</v>
      </c>
      <c r="L417" s="226">
        <v>12</v>
      </c>
      <c r="M417" s="226" t="s">
        <v>869</v>
      </c>
      <c r="N417" s="168">
        <v>4176</v>
      </c>
      <c r="O417" s="168"/>
      <c r="Q417" s="221">
        <v>10</v>
      </c>
      <c r="R417" s="112">
        <f t="shared" si="40"/>
        <v>34.791666666666664</v>
      </c>
      <c r="S417" s="223">
        <f t="shared" si="42"/>
        <v>2957.2916666666665</v>
      </c>
      <c r="T417" s="223">
        <f t="shared" si="41"/>
        <v>1218.7083333333335</v>
      </c>
      <c r="U417" s="221">
        <v>9493</v>
      </c>
      <c r="V417" s="233"/>
      <c r="W417" s="223"/>
      <c r="X417" s="196">
        <f t="shared" si="39"/>
        <v>85</v>
      </c>
    </row>
    <row r="418" spans="1:24" s="221" customFormat="1">
      <c r="A418" s="226" t="s">
        <v>1709</v>
      </c>
      <c r="B418" s="226" t="s">
        <v>1708</v>
      </c>
      <c r="C418" s="226"/>
      <c r="D418" s="226"/>
      <c r="E418" s="226"/>
      <c r="F418" s="226" t="s">
        <v>1707</v>
      </c>
      <c r="G418" s="220" t="str">
        <f t="shared" si="38"/>
        <v>19/3/2007</v>
      </c>
      <c r="H418" s="242">
        <v>19</v>
      </c>
      <c r="I418" s="242">
        <v>3</v>
      </c>
      <c r="J418" s="225">
        <v>2007</v>
      </c>
      <c r="K418" s="226" t="s">
        <v>30</v>
      </c>
      <c r="L418" s="226">
        <v>12</v>
      </c>
      <c r="M418" s="226" t="s">
        <v>869</v>
      </c>
      <c r="N418" s="168">
        <v>5336</v>
      </c>
      <c r="O418" s="168"/>
      <c r="Q418" s="221">
        <v>10</v>
      </c>
      <c r="R418" s="112">
        <f t="shared" si="40"/>
        <v>44.458333333333336</v>
      </c>
      <c r="S418" s="223">
        <f t="shared" si="42"/>
        <v>3778.9583333333335</v>
      </c>
      <c r="T418" s="223">
        <f t="shared" si="41"/>
        <v>1557.0416666666665</v>
      </c>
      <c r="U418" s="221">
        <v>9493</v>
      </c>
      <c r="V418" s="233"/>
      <c r="W418" s="223"/>
      <c r="X418" s="196">
        <f t="shared" si="39"/>
        <v>85</v>
      </c>
    </row>
    <row r="419" spans="1:24" s="221" customFormat="1">
      <c r="A419" s="226" t="s">
        <v>1706</v>
      </c>
      <c r="B419" s="206" t="s">
        <v>1704</v>
      </c>
      <c r="C419" s="226" t="s">
        <v>964</v>
      </c>
      <c r="D419" s="226"/>
      <c r="E419" s="226"/>
      <c r="F419" s="226" t="s">
        <v>1703</v>
      </c>
      <c r="G419" s="220" t="str">
        <f t="shared" si="38"/>
        <v>27/9/2006</v>
      </c>
      <c r="H419" s="242">
        <v>27</v>
      </c>
      <c r="I419" s="242">
        <v>9</v>
      </c>
      <c r="J419" s="225">
        <v>2006</v>
      </c>
      <c r="K419" s="226" t="s">
        <v>1510</v>
      </c>
      <c r="L419" s="226">
        <v>1642</v>
      </c>
      <c r="M419" s="226" t="s">
        <v>869</v>
      </c>
      <c r="N419" s="230">
        <v>3280</v>
      </c>
      <c r="O419" s="230" t="s">
        <v>1122</v>
      </c>
      <c r="Q419" s="221">
        <v>10</v>
      </c>
      <c r="R419" s="112">
        <f t="shared" si="40"/>
        <v>27.324999999999999</v>
      </c>
      <c r="S419" s="223">
        <f t="shared" si="42"/>
        <v>2486.5749999999998</v>
      </c>
      <c r="T419" s="223">
        <f t="shared" si="41"/>
        <v>793.42500000000018</v>
      </c>
      <c r="U419" s="221">
        <v>8740</v>
      </c>
      <c r="V419" s="233"/>
      <c r="W419" s="223"/>
      <c r="X419" s="196">
        <f t="shared" si="39"/>
        <v>91</v>
      </c>
    </row>
    <row r="420" spans="1:24" s="221" customFormat="1">
      <c r="A420" s="226" t="s">
        <v>1705</v>
      </c>
      <c r="B420" s="206" t="s">
        <v>1704</v>
      </c>
      <c r="C420" s="226" t="s">
        <v>964</v>
      </c>
      <c r="D420" s="226"/>
      <c r="E420" s="226"/>
      <c r="F420" s="226" t="s">
        <v>1703</v>
      </c>
      <c r="G420" s="220" t="str">
        <f t="shared" si="38"/>
        <v>27/9/2006</v>
      </c>
      <c r="H420" s="242">
        <v>27</v>
      </c>
      <c r="I420" s="242">
        <v>9</v>
      </c>
      <c r="J420" s="225">
        <v>2006</v>
      </c>
      <c r="K420" s="226" t="s">
        <v>1510</v>
      </c>
      <c r="L420" s="226">
        <v>1642</v>
      </c>
      <c r="M420" s="226" t="s">
        <v>869</v>
      </c>
      <c r="N420" s="230">
        <v>3280</v>
      </c>
      <c r="O420" s="230" t="s">
        <v>1573</v>
      </c>
      <c r="Q420" s="221">
        <v>10</v>
      </c>
      <c r="R420" s="112">
        <f t="shared" si="40"/>
        <v>27.324999999999999</v>
      </c>
      <c r="S420" s="223">
        <f t="shared" si="42"/>
        <v>2486.5749999999998</v>
      </c>
      <c r="T420" s="223">
        <f t="shared" si="41"/>
        <v>793.42500000000018</v>
      </c>
      <c r="U420" s="221">
        <v>8740</v>
      </c>
      <c r="V420" s="233"/>
      <c r="W420" s="223"/>
      <c r="X420" s="196">
        <f t="shared" si="39"/>
        <v>91</v>
      </c>
    </row>
    <row r="421" spans="1:24" s="221" customFormat="1">
      <c r="A421" s="226" t="s">
        <v>1702</v>
      </c>
      <c r="B421" s="226" t="s">
        <v>1697</v>
      </c>
      <c r="C421" s="226" t="s">
        <v>964</v>
      </c>
      <c r="D421" s="226" t="s">
        <v>1701</v>
      </c>
      <c r="E421" s="226"/>
      <c r="F421" s="226" t="s">
        <v>1700</v>
      </c>
      <c r="G421" s="220" t="str">
        <f t="shared" si="38"/>
        <v>25/8/2005</v>
      </c>
      <c r="H421" s="242">
        <v>25</v>
      </c>
      <c r="I421" s="242">
        <v>8</v>
      </c>
      <c r="J421" s="225">
        <v>2005</v>
      </c>
      <c r="K421" s="226" t="s">
        <v>30</v>
      </c>
      <c r="L421" s="226">
        <v>46123</v>
      </c>
      <c r="M421" s="226" t="s">
        <v>869</v>
      </c>
      <c r="N421" s="230">
        <v>3915</v>
      </c>
      <c r="O421" s="230"/>
      <c r="Q421" s="221">
        <v>10</v>
      </c>
      <c r="R421" s="112">
        <f t="shared" si="40"/>
        <v>32.616666666666667</v>
      </c>
      <c r="S421" s="223">
        <f t="shared" si="42"/>
        <v>3392.1333333333332</v>
      </c>
      <c r="T421" s="223">
        <f t="shared" si="41"/>
        <v>522.86666666666679</v>
      </c>
      <c r="U421" s="221">
        <v>6898</v>
      </c>
      <c r="V421" s="233"/>
      <c r="W421" s="223"/>
      <c r="X421" s="196">
        <f t="shared" si="39"/>
        <v>104</v>
      </c>
    </row>
    <row r="422" spans="1:24" s="221" customFormat="1">
      <c r="A422" s="226" t="s">
        <v>1699</v>
      </c>
      <c r="B422" s="226" t="s">
        <v>1697</v>
      </c>
      <c r="C422" s="226" t="s">
        <v>1696</v>
      </c>
      <c r="D422" s="226"/>
      <c r="E422" s="226"/>
      <c r="F422" s="226"/>
      <c r="G422" s="220" t="str">
        <f t="shared" si="38"/>
        <v>//</v>
      </c>
      <c r="H422" s="242"/>
      <c r="I422" s="242"/>
      <c r="J422" s="225"/>
      <c r="K422" s="226"/>
      <c r="L422" s="225"/>
      <c r="M422" s="226" t="s">
        <v>869</v>
      </c>
      <c r="N422" s="230">
        <v>1</v>
      </c>
      <c r="O422" s="230"/>
      <c r="Q422" s="221">
        <v>10</v>
      </c>
      <c r="R422" s="112">
        <f t="shared" si="40"/>
        <v>0</v>
      </c>
      <c r="S422" s="223">
        <v>0</v>
      </c>
      <c r="T422" s="223">
        <f t="shared" si="41"/>
        <v>1</v>
      </c>
      <c r="V422" s="233"/>
      <c r="W422" s="223"/>
      <c r="X422" s="196" t="e">
        <f t="shared" si="39"/>
        <v>#VALUE!</v>
      </c>
    </row>
    <row r="423" spans="1:24" s="221" customFormat="1">
      <c r="A423" s="226" t="s">
        <v>1698</v>
      </c>
      <c r="B423" s="226" t="s">
        <v>1697</v>
      </c>
      <c r="C423" s="226" t="s">
        <v>1696</v>
      </c>
      <c r="D423" s="226"/>
      <c r="E423" s="226"/>
      <c r="F423" s="226"/>
      <c r="G423" s="220" t="str">
        <f t="shared" si="38"/>
        <v>//</v>
      </c>
      <c r="H423" s="242"/>
      <c r="I423" s="242"/>
      <c r="J423" s="225"/>
      <c r="K423" s="226"/>
      <c r="L423" s="225"/>
      <c r="M423" s="226" t="s">
        <v>869</v>
      </c>
      <c r="N423" s="230">
        <v>1</v>
      </c>
      <c r="O423" s="230"/>
      <c r="Q423" s="221">
        <v>10</v>
      </c>
      <c r="R423" s="112">
        <f t="shared" si="40"/>
        <v>0</v>
      </c>
      <c r="S423" s="223">
        <v>0</v>
      </c>
      <c r="T423" s="223">
        <f t="shared" si="41"/>
        <v>1</v>
      </c>
      <c r="V423" s="233"/>
      <c r="W423" s="223"/>
      <c r="X423" s="196" t="e">
        <f t="shared" si="39"/>
        <v>#VALUE!</v>
      </c>
    </row>
    <row r="424" spans="1:24" s="221" customFormat="1">
      <c r="A424" s="226" t="s">
        <v>1695</v>
      </c>
      <c r="B424" s="226" t="s">
        <v>1694</v>
      </c>
      <c r="C424" s="226" t="s">
        <v>1693</v>
      </c>
      <c r="D424" s="226" t="s">
        <v>1692</v>
      </c>
      <c r="E424" s="226"/>
      <c r="F424" s="226" t="s">
        <v>98</v>
      </c>
      <c r="G424" s="220" t="str">
        <f t="shared" si="38"/>
        <v>11/11/2004</v>
      </c>
      <c r="H424" s="242">
        <v>11</v>
      </c>
      <c r="I424" s="242">
        <v>11</v>
      </c>
      <c r="J424" s="225">
        <v>2004</v>
      </c>
      <c r="K424" s="226" t="s">
        <v>30</v>
      </c>
      <c r="L424" s="225" t="s">
        <v>1691</v>
      </c>
      <c r="M424" s="226" t="s">
        <v>869</v>
      </c>
      <c r="N424" s="230">
        <v>80590</v>
      </c>
      <c r="O424" s="230"/>
      <c r="Q424" s="221">
        <v>10</v>
      </c>
      <c r="R424" s="112">
        <f t="shared" si="40"/>
        <v>671.57499999999993</v>
      </c>
      <c r="S424" s="223">
        <f>X424*R424</f>
        <v>75887.974999999991</v>
      </c>
      <c r="T424" s="223">
        <f t="shared" si="41"/>
        <v>4702.0250000000087</v>
      </c>
      <c r="U424" s="221">
        <v>5145</v>
      </c>
      <c r="V424" s="233"/>
      <c r="W424" s="223"/>
      <c r="X424" s="196">
        <f t="shared" si="39"/>
        <v>113</v>
      </c>
    </row>
    <row r="425" spans="1:24" s="221" customFormat="1">
      <c r="A425" s="226" t="s">
        <v>1690</v>
      </c>
      <c r="B425" s="226" t="s">
        <v>1689</v>
      </c>
      <c r="C425" s="226" t="s">
        <v>1679</v>
      </c>
      <c r="D425" s="226" t="s">
        <v>1688</v>
      </c>
      <c r="E425" s="226">
        <v>63120112169</v>
      </c>
      <c r="F425" s="226"/>
      <c r="G425" s="220" t="str">
        <f t="shared" si="38"/>
        <v>//</v>
      </c>
      <c r="H425" s="242"/>
      <c r="I425" s="242"/>
      <c r="J425" s="225"/>
      <c r="K425" s="226"/>
      <c r="L425" s="225"/>
      <c r="M425" s="226" t="s">
        <v>869</v>
      </c>
      <c r="N425" s="230">
        <v>1</v>
      </c>
      <c r="O425" s="230" t="s">
        <v>1687</v>
      </c>
      <c r="Q425" s="221">
        <v>10</v>
      </c>
      <c r="R425" s="112">
        <f t="shared" si="40"/>
        <v>0</v>
      </c>
      <c r="S425" s="223">
        <v>0</v>
      </c>
      <c r="T425" s="223">
        <f t="shared" si="41"/>
        <v>1</v>
      </c>
      <c r="V425" s="233"/>
      <c r="W425" s="223"/>
      <c r="X425" s="196" t="e">
        <f t="shared" si="39"/>
        <v>#VALUE!</v>
      </c>
    </row>
    <row r="426" spans="1:24" s="221" customFormat="1">
      <c r="A426" s="226" t="s">
        <v>1686</v>
      </c>
      <c r="B426" s="226" t="s">
        <v>1683</v>
      </c>
      <c r="C426" s="226" t="s">
        <v>1632</v>
      </c>
      <c r="D426" s="226"/>
      <c r="E426" s="226"/>
      <c r="F426" s="226" t="s">
        <v>1682</v>
      </c>
      <c r="G426" s="220" t="str">
        <f t="shared" si="38"/>
        <v>18/12/2007</v>
      </c>
      <c r="H426" s="242">
        <v>18</v>
      </c>
      <c r="I426" s="242">
        <v>12</v>
      </c>
      <c r="J426" s="225">
        <v>2007</v>
      </c>
      <c r="K426" s="226" t="s">
        <v>1510</v>
      </c>
      <c r="L426" s="226">
        <v>1936</v>
      </c>
      <c r="M426" s="226" t="s">
        <v>869</v>
      </c>
      <c r="N426" s="168">
        <v>4995</v>
      </c>
      <c r="O426" s="168" t="s">
        <v>1685</v>
      </c>
      <c r="Q426" s="221">
        <v>10</v>
      </c>
      <c r="R426" s="112">
        <f t="shared" si="40"/>
        <v>41.616666666666667</v>
      </c>
      <c r="S426" s="223">
        <f>X426*R426</f>
        <v>3162.8666666666668</v>
      </c>
      <c r="T426" s="223">
        <f t="shared" si="41"/>
        <v>1832.1333333333332</v>
      </c>
      <c r="U426" s="221">
        <v>98</v>
      </c>
      <c r="V426" s="233"/>
      <c r="W426" s="223"/>
      <c r="X426" s="196">
        <f t="shared" si="39"/>
        <v>76</v>
      </c>
    </row>
    <row r="427" spans="1:24" s="221" customFormat="1">
      <c r="A427" s="226" t="s">
        <v>1684</v>
      </c>
      <c r="B427" s="226" t="s">
        <v>1683</v>
      </c>
      <c r="C427" s="226" t="s">
        <v>1632</v>
      </c>
      <c r="D427" s="226"/>
      <c r="E427" s="226"/>
      <c r="F427" s="226" t="s">
        <v>1682</v>
      </c>
      <c r="G427" s="220" t="str">
        <f t="shared" si="38"/>
        <v>18/12/2007</v>
      </c>
      <c r="H427" s="242">
        <v>18</v>
      </c>
      <c r="I427" s="242">
        <v>12</v>
      </c>
      <c r="J427" s="225">
        <v>2007</v>
      </c>
      <c r="K427" s="226" t="s">
        <v>1510</v>
      </c>
      <c r="L427" s="226">
        <v>1936</v>
      </c>
      <c r="M427" s="226" t="s">
        <v>869</v>
      </c>
      <c r="N427" s="168">
        <v>6095</v>
      </c>
      <c r="O427" s="168"/>
      <c r="Q427" s="221">
        <v>10</v>
      </c>
      <c r="R427" s="112">
        <f t="shared" si="40"/>
        <v>50.783333333333331</v>
      </c>
      <c r="S427" s="223">
        <f>X427*R427</f>
        <v>3859.5333333333333</v>
      </c>
      <c r="T427" s="223">
        <f t="shared" si="41"/>
        <v>2235.4666666666667</v>
      </c>
      <c r="U427" s="221">
        <v>98</v>
      </c>
      <c r="V427" s="233"/>
      <c r="W427" s="223"/>
      <c r="X427" s="196">
        <f t="shared" si="39"/>
        <v>76</v>
      </c>
    </row>
    <row r="428" spans="1:24" s="221" customFormat="1">
      <c r="A428" s="226" t="s">
        <v>1681</v>
      </c>
      <c r="B428" s="206" t="s">
        <v>1680</v>
      </c>
      <c r="C428" s="226" t="s">
        <v>1679</v>
      </c>
      <c r="D428" s="226" t="s">
        <v>1678</v>
      </c>
      <c r="E428" s="226">
        <v>63120111230</v>
      </c>
      <c r="F428" s="226" t="s">
        <v>1592</v>
      </c>
      <c r="G428" s="220" t="str">
        <f t="shared" si="38"/>
        <v>2/8/2003</v>
      </c>
      <c r="H428" s="242">
        <v>2</v>
      </c>
      <c r="I428" s="242">
        <v>8</v>
      </c>
      <c r="J428" s="225">
        <v>2003</v>
      </c>
      <c r="K428" s="226" t="s">
        <v>56</v>
      </c>
      <c r="L428" s="226">
        <v>987</v>
      </c>
      <c r="M428" s="226" t="s">
        <v>869</v>
      </c>
      <c r="N428" s="230">
        <v>4503.91</v>
      </c>
      <c r="O428" s="230" t="s">
        <v>1573</v>
      </c>
      <c r="Q428" s="221">
        <v>10</v>
      </c>
      <c r="R428" s="112">
        <f t="shared" si="40"/>
        <v>37.524250000000002</v>
      </c>
      <c r="S428" s="223">
        <f>X428*R428</f>
        <v>4502.91</v>
      </c>
      <c r="T428" s="223">
        <f t="shared" si="41"/>
        <v>1</v>
      </c>
      <c r="U428" s="249" t="s">
        <v>1677</v>
      </c>
      <c r="V428" s="233"/>
      <c r="W428" s="223"/>
      <c r="X428" s="196">
        <f t="shared" si="39"/>
        <v>120</v>
      </c>
    </row>
    <row r="429" spans="1:24" s="221" customFormat="1">
      <c r="A429" s="226" t="s">
        <v>1676</v>
      </c>
      <c r="B429" s="226" t="s">
        <v>1675</v>
      </c>
      <c r="C429" s="226" t="s">
        <v>1674</v>
      </c>
      <c r="D429" s="226"/>
      <c r="E429" s="226"/>
      <c r="F429" s="226" t="s">
        <v>1461</v>
      </c>
      <c r="G429" s="220" t="str">
        <f t="shared" si="38"/>
        <v>15/8/2007</v>
      </c>
      <c r="H429" s="242">
        <v>15</v>
      </c>
      <c r="I429" s="242">
        <v>8</v>
      </c>
      <c r="J429" s="225">
        <v>2007</v>
      </c>
      <c r="K429" s="226" t="s">
        <v>30</v>
      </c>
      <c r="L429" s="226">
        <v>58597</v>
      </c>
      <c r="M429" s="226" t="s">
        <v>869</v>
      </c>
      <c r="N429" s="168">
        <v>9700</v>
      </c>
      <c r="O429" s="168" t="s">
        <v>85</v>
      </c>
      <c r="Q429" s="221">
        <v>10</v>
      </c>
      <c r="R429" s="112">
        <f t="shared" si="40"/>
        <v>80.825000000000003</v>
      </c>
      <c r="S429" s="223">
        <f>X429*R429</f>
        <v>6466</v>
      </c>
      <c r="T429" s="223">
        <f t="shared" si="41"/>
        <v>3234</v>
      </c>
      <c r="U429" s="221">
        <v>9901</v>
      </c>
      <c r="V429" s="233"/>
      <c r="W429" s="223"/>
      <c r="X429" s="196">
        <f t="shared" si="39"/>
        <v>80</v>
      </c>
    </row>
    <row r="430" spans="1:24" s="221" customFormat="1">
      <c r="A430" s="226" t="s">
        <v>1673</v>
      </c>
      <c r="B430" s="226" t="s">
        <v>1671</v>
      </c>
      <c r="C430" s="226" t="s">
        <v>1665</v>
      </c>
      <c r="D430" s="226" t="s">
        <v>1664</v>
      </c>
      <c r="E430" s="226"/>
      <c r="F430" s="226"/>
      <c r="G430" s="220" t="str">
        <f t="shared" si="38"/>
        <v>//</v>
      </c>
      <c r="H430" s="242"/>
      <c r="I430" s="242"/>
      <c r="J430" s="225"/>
      <c r="K430" s="226"/>
      <c r="L430" s="226"/>
      <c r="M430" s="226" t="s">
        <v>869</v>
      </c>
      <c r="N430" s="230">
        <v>1</v>
      </c>
      <c r="O430" s="230"/>
      <c r="Q430" s="221">
        <v>10</v>
      </c>
      <c r="R430" s="112">
        <f t="shared" si="40"/>
        <v>0</v>
      </c>
      <c r="S430" s="223">
        <v>0</v>
      </c>
      <c r="T430" s="223">
        <f t="shared" si="41"/>
        <v>1</v>
      </c>
      <c r="V430" s="233"/>
      <c r="W430" s="223"/>
      <c r="X430" s="196" t="e">
        <f t="shared" si="39"/>
        <v>#VALUE!</v>
      </c>
    </row>
    <row r="431" spans="1:24" s="221" customFormat="1">
      <c r="A431" s="226" t="s">
        <v>1672</v>
      </c>
      <c r="B431" s="226" t="s">
        <v>1671</v>
      </c>
      <c r="C431" s="226" t="s">
        <v>1670</v>
      </c>
      <c r="D431" s="226" t="s">
        <v>1669</v>
      </c>
      <c r="E431" s="226" t="s">
        <v>1668</v>
      </c>
      <c r="F431" s="226"/>
      <c r="G431" s="220" t="str">
        <f t="shared" si="38"/>
        <v>//</v>
      </c>
      <c r="H431" s="242"/>
      <c r="I431" s="242"/>
      <c r="J431" s="225"/>
      <c r="K431" s="226"/>
      <c r="L431" s="225"/>
      <c r="M431" s="226" t="s">
        <v>869</v>
      </c>
      <c r="N431" s="230">
        <v>1</v>
      </c>
      <c r="O431" s="230"/>
      <c r="Q431" s="221">
        <v>10</v>
      </c>
      <c r="R431" s="112">
        <f t="shared" si="40"/>
        <v>0</v>
      </c>
      <c r="S431" s="223">
        <v>0</v>
      </c>
      <c r="T431" s="223">
        <f t="shared" si="41"/>
        <v>1</v>
      </c>
      <c r="V431" s="233"/>
      <c r="W431" s="223"/>
      <c r="X431" s="196" t="e">
        <f t="shared" si="39"/>
        <v>#VALUE!</v>
      </c>
    </row>
    <row r="432" spans="1:24" s="221" customFormat="1">
      <c r="A432" s="226" t="s">
        <v>1667</v>
      </c>
      <c r="B432" s="226" t="s">
        <v>1666</v>
      </c>
      <c r="C432" s="226" t="s">
        <v>1665</v>
      </c>
      <c r="D432" s="226" t="s">
        <v>1664</v>
      </c>
      <c r="E432" s="226"/>
      <c r="F432" s="226"/>
      <c r="G432" s="220" t="str">
        <f t="shared" si="38"/>
        <v>//</v>
      </c>
      <c r="H432" s="242"/>
      <c r="I432" s="242"/>
      <c r="J432" s="225"/>
      <c r="K432" s="226"/>
      <c r="L432" s="226"/>
      <c r="M432" s="226" t="s">
        <v>869</v>
      </c>
      <c r="N432" s="230">
        <v>1</v>
      </c>
      <c r="O432" s="230"/>
      <c r="Q432" s="221">
        <v>10</v>
      </c>
      <c r="R432" s="112">
        <f t="shared" si="40"/>
        <v>0</v>
      </c>
      <c r="S432" s="223">
        <v>0</v>
      </c>
      <c r="T432" s="223">
        <f t="shared" si="41"/>
        <v>1</v>
      </c>
      <c r="V432" s="233"/>
      <c r="W432" s="223"/>
      <c r="X432" s="196" t="e">
        <f t="shared" si="39"/>
        <v>#VALUE!</v>
      </c>
    </row>
    <row r="433" spans="1:24" s="221" customFormat="1">
      <c r="A433" s="226" t="s">
        <v>1663</v>
      </c>
      <c r="B433" s="226" t="s">
        <v>1662</v>
      </c>
      <c r="C433" s="226"/>
      <c r="D433" s="226"/>
      <c r="E433" s="226"/>
      <c r="F433" s="226" t="s">
        <v>1452</v>
      </c>
      <c r="G433" s="220" t="str">
        <f t="shared" si="38"/>
        <v>10/4/2007</v>
      </c>
      <c r="H433" s="242">
        <v>10</v>
      </c>
      <c r="I433" s="242">
        <v>4</v>
      </c>
      <c r="J433" s="225">
        <v>2007</v>
      </c>
      <c r="K433" s="226" t="s">
        <v>30</v>
      </c>
      <c r="L433" s="226">
        <v>755830</v>
      </c>
      <c r="M433" s="226" t="s">
        <v>869</v>
      </c>
      <c r="N433" s="168">
        <v>5244.62</v>
      </c>
      <c r="O433" s="168"/>
      <c r="Q433" s="221">
        <v>10</v>
      </c>
      <c r="R433" s="112">
        <f t="shared" si="40"/>
        <v>43.696833333333331</v>
      </c>
      <c r="S433" s="223">
        <f>X433*R433</f>
        <v>3670.5339999999997</v>
      </c>
      <c r="T433" s="223">
        <f t="shared" si="41"/>
        <v>1574.0860000000002</v>
      </c>
      <c r="U433" s="221">
        <v>9897</v>
      </c>
      <c r="V433" s="233"/>
      <c r="W433" s="223"/>
      <c r="X433" s="196">
        <f t="shared" si="39"/>
        <v>84</v>
      </c>
    </row>
    <row r="434" spans="1:24" s="221" customFormat="1">
      <c r="A434" s="226" t="s">
        <v>1661</v>
      </c>
      <c r="B434" s="226" t="s">
        <v>1660</v>
      </c>
      <c r="C434" s="226" t="s">
        <v>1659</v>
      </c>
      <c r="D434" s="226" t="s">
        <v>1658</v>
      </c>
      <c r="E434" s="226"/>
      <c r="F434" s="226" t="s">
        <v>1657</v>
      </c>
      <c r="G434" s="220" t="str">
        <f t="shared" si="38"/>
        <v>21/3/2005</v>
      </c>
      <c r="H434" s="242">
        <v>21</v>
      </c>
      <c r="I434" s="242">
        <v>3</v>
      </c>
      <c r="J434" s="225">
        <v>2005</v>
      </c>
      <c r="K434" s="226" t="s">
        <v>30</v>
      </c>
      <c r="L434" s="225">
        <v>236</v>
      </c>
      <c r="M434" s="226" t="s">
        <v>869</v>
      </c>
      <c r="N434" s="230">
        <v>12426.01</v>
      </c>
      <c r="O434" s="230"/>
      <c r="Q434" s="221">
        <v>10</v>
      </c>
      <c r="R434" s="112">
        <f t="shared" si="40"/>
        <v>103.54174999999999</v>
      </c>
      <c r="S434" s="223">
        <f>X434*R434</f>
        <v>11286.050749999999</v>
      </c>
      <c r="T434" s="223">
        <f t="shared" si="41"/>
        <v>1139.9592500000017</v>
      </c>
      <c r="U434" s="221">
        <v>5931</v>
      </c>
      <c r="V434" s="233"/>
      <c r="W434" s="223"/>
      <c r="X434" s="196">
        <f t="shared" si="39"/>
        <v>109</v>
      </c>
    </row>
    <row r="435" spans="1:24" s="221" customFormat="1">
      <c r="A435" s="226" t="s">
        <v>1656</v>
      </c>
      <c r="B435" s="226" t="s">
        <v>1655</v>
      </c>
      <c r="C435" s="226" t="s">
        <v>1654</v>
      </c>
      <c r="D435" s="226"/>
      <c r="E435" s="226"/>
      <c r="F435" s="226" t="s">
        <v>55</v>
      </c>
      <c r="G435" s="220" t="str">
        <f t="shared" si="38"/>
        <v>3/12/2003</v>
      </c>
      <c r="H435" s="242">
        <v>3</v>
      </c>
      <c r="I435" s="242">
        <v>12</v>
      </c>
      <c r="J435" s="225">
        <v>2003</v>
      </c>
      <c r="K435" s="226" t="s">
        <v>30</v>
      </c>
      <c r="L435" s="226">
        <v>4378</v>
      </c>
      <c r="M435" s="226" t="s">
        <v>869</v>
      </c>
      <c r="N435" s="230">
        <v>14427</v>
      </c>
      <c r="O435" s="230"/>
      <c r="Q435" s="221">
        <v>10</v>
      </c>
      <c r="R435" s="112">
        <f t="shared" si="40"/>
        <v>120.21666666666665</v>
      </c>
      <c r="S435" s="223">
        <f>X435*R435</f>
        <v>14425.999999999998</v>
      </c>
      <c r="T435" s="223">
        <f t="shared" si="41"/>
        <v>1.000000000001819</v>
      </c>
      <c r="U435" s="221">
        <v>1076</v>
      </c>
      <c r="V435" s="233"/>
      <c r="W435" s="223"/>
      <c r="X435" s="196">
        <f t="shared" si="39"/>
        <v>120</v>
      </c>
    </row>
    <row r="436" spans="1:24" s="221" customFormat="1">
      <c r="A436" s="226" t="s">
        <v>1653</v>
      </c>
      <c r="B436" s="226" t="s">
        <v>1652</v>
      </c>
      <c r="C436" s="226" t="s">
        <v>484</v>
      </c>
      <c r="D436" s="226" t="s">
        <v>1651</v>
      </c>
      <c r="E436" s="226"/>
      <c r="F436" s="226" t="s">
        <v>1503</v>
      </c>
      <c r="G436" s="220" t="str">
        <f t="shared" si="38"/>
        <v>5/7/2004</v>
      </c>
      <c r="H436" s="242">
        <v>5</v>
      </c>
      <c r="I436" s="242">
        <v>7</v>
      </c>
      <c r="J436" s="225">
        <v>2004</v>
      </c>
      <c r="K436" s="226" t="s">
        <v>30</v>
      </c>
      <c r="L436" s="225">
        <v>7593</v>
      </c>
      <c r="M436" s="226" t="s">
        <v>869</v>
      </c>
      <c r="N436" s="230">
        <v>3500</v>
      </c>
      <c r="O436" s="230" t="s">
        <v>593</v>
      </c>
      <c r="Q436" s="221">
        <v>10</v>
      </c>
      <c r="R436" s="112">
        <f t="shared" si="40"/>
        <v>29.158333333333331</v>
      </c>
      <c r="S436" s="223">
        <f>X436*R436</f>
        <v>3411.5249999999996</v>
      </c>
      <c r="T436" s="223">
        <f t="shared" si="41"/>
        <v>88.475000000000364</v>
      </c>
      <c r="U436" s="221">
        <v>4302</v>
      </c>
      <c r="V436" s="233"/>
      <c r="W436" s="223"/>
      <c r="X436" s="196">
        <f t="shared" si="39"/>
        <v>117</v>
      </c>
    </row>
    <row r="437" spans="1:24" s="221" customFormat="1">
      <c r="A437" s="226" t="s">
        <v>1650</v>
      </c>
      <c r="B437" s="226" t="s">
        <v>1649</v>
      </c>
      <c r="C437" s="226" t="s">
        <v>1648</v>
      </c>
      <c r="D437" s="226" t="s">
        <v>1647</v>
      </c>
      <c r="E437" s="248"/>
      <c r="F437" s="248" t="s">
        <v>1646</v>
      </c>
      <c r="G437" s="220" t="str">
        <f t="shared" si="38"/>
        <v>23/3/2006</v>
      </c>
      <c r="H437" s="251">
        <v>23</v>
      </c>
      <c r="I437" s="251">
        <v>3</v>
      </c>
      <c r="J437" s="250">
        <v>2006</v>
      </c>
      <c r="K437" s="248" t="s">
        <v>1645</v>
      </c>
      <c r="L437" s="250">
        <v>1574</v>
      </c>
      <c r="M437" s="226" t="s">
        <v>869</v>
      </c>
      <c r="N437" s="230">
        <v>6111.6</v>
      </c>
      <c r="O437" s="230"/>
      <c r="Q437" s="221">
        <v>10</v>
      </c>
      <c r="R437" s="112">
        <f t="shared" si="40"/>
        <v>50.921666666666674</v>
      </c>
      <c r="S437" s="223">
        <f>X437*R437</f>
        <v>4939.4016666666676</v>
      </c>
      <c r="T437" s="223">
        <f t="shared" si="41"/>
        <v>1172.1983333333328</v>
      </c>
      <c r="U437" s="221">
        <v>8065</v>
      </c>
      <c r="V437" s="233"/>
      <c r="W437" s="223"/>
      <c r="X437" s="196">
        <f t="shared" si="39"/>
        <v>97</v>
      </c>
    </row>
    <row r="438" spans="1:24" s="221" customFormat="1">
      <c r="A438" s="226" t="s">
        <v>1644</v>
      </c>
      <c r="B438" s="226" t="s">
        <v>591</v>
      </c>
      <c r="C438" s="226" t="s">
        <v>398</v>
      </c>
      <c r="D438" s="226" t="s">
        <v>589</v>
      </c>
      <c r="E438" s="226" t="s">
        <v>1643</v>
      </c>
      <c r="F438" s="226"/>
      <c r="G438" s="220" t="str">
        <f t="shared" si="38"/>
        <v>//</v>
      </c>
      <c r="H438" s="242"/>
      <c r="I438" s="242"/>
      <c r="J438" s="225"/>
      <c r="K438" s="226"/>
      <c r="L438" s="226"/>
      <c r="M438" s="226" t="s">
        <v>869</v>
      </c>
      <c r="N438" s="168">
        <v>1</v>
      </c>
      <c r="O438" s="168"/>
      <c r="Q438" s="221">
        <v>10</v>
      </c>
      <c r="R438" s="112">
        <f t="shared" si="40"/>
        <v>0</v>
      </c>
      <c r="S438" s="223">
        <v>0</v>
      </c>
      <c r="T438" s="223">
        <f t="shared" si="41"/>
        <v>1</v>
      </c>
      <c r="V438" s="233"/>
      <c r="W438" s="223"/>
      <c r="X438" s="196" t="e">
        <f t="shared" si="39"/>
        <v>#VALUE!</v>
      </c>
    </row>
    <row r="439" spans="1:24" s="221" customFormat="1">
      <c r="A439" s="226" t="s">
        <v>1642</v>
      </c>
      <c r="B439" s="226" t="s">
        <v>1641</v>
      </c>
      <c r="C439" s="226" t="s">
        <v>1640</v>
      </c>
      <c r="D439" s="226" t="s">
        <v>1639</v>
      </c>
      <c r="E439" s="226"/>
      <c r="F439" s="226" t="s">
        <v>1638</v>
      </c>
      <c r="G439" s="220" t="str">
        <f t="shared" si="38"/>
        <v>1/8/2004</v>
      </c>
      <c r="H439" s="242">
        <v>1</v>
      </c>
      <c r="I439" s="242">
        <v>8</v>
      </c>
      <c r="J439" s="225">
        <v>2004</v>
      </c>
      <c r="K439" s="226" t="s">
        <v>1510</v>
      </c>
      <c r="L439" s="226">
        <v>777</v>
      </c>
      <c r="M439" s="226" t="s">
        <v>869</v>
      </c>
      <c r="N439" s="230">
        <v>945</v>
      </c>
      <c r="O439" s="230"/>
      <c r="Q439" s="221">
        <v>10</v>
      </c>
      <c r="R439" s="112">
        <f t="shared" si="40"/>
        <v>7.8666666666666671</v>
      </c>
      <c r="S439" s="223">
        <f>X439*R439</f>
        <v>912.53333333333342</v>
      </c>
      <c r="T439" s="223">
        <f t="shared" si="41"/>
        <v>32.466666666666583</v>
      </c>
      <c r="U439" s="221">
        <v>2878</v>
      </c>
      <c r="V439" s="233"/>
      <c r="W439" s="223"/>
      <c r="X439" s="196">
        <f t="shared" si="39"/>
        <v>116</v>
      </c>
    </row>
    <row r="440" spans="1:24" s="221" customFormat="1">
      <c r="A440" s="226" t="s">
        <v>1637</v>
      </c>
      <c r="B440" s="226" t="s">
        <v>1633</v>
      </c>
      <c r="C440" s="226" t="s">
        <v>1636</v>
      </c>
      <c r="D440" s="226" t="s">
        <v>1635</v>
      </c>
      <c r="E440" s="226"/>
      <c r="F440" s="226"/>
      <c r="G440" s="220" t="str">
        <f t="shared" si="38"/>
        <v>//</v>
      </c>
      <c r="H440" s="242"/>
      <c r="I440" s="242"/>
      <c r="J440" s="225"/>
      <c r="K440" s="226"/>
      <c r="L440" s="226"/>
      <c r="M440" s="226" t="s">
        <v>869</v>
      </c>
      <c r="N440" s="230">
        <v>1</v>
      </c>
      <c r="O440" s="230"/>
      <c r="Q440" s="221">
        <v>10</v>
      </c>
      <c r="R440" s="112">
        <f t="shared" si="40"/>
        <v>0</v>
      </c>
      <c r="S440" s="223">
        <v>0</v>
      </c>
      <c r="T440" s="223">
        <f t="shared" si="41"/>
        <v>1</v>
      </c>
      <c r="V440" s="233"/>
      <c r="W440" s="223"/>
      <c r="X440" s="196" t="e">
        <f t="shared" si="39"/>
        <v>#VALUE!</v>
      </c>
    </row>
    <row r="441" spans="1:24" s="221" customFormat="1">
      <c r="A441" s="226" t="s">
        <v>1634</v>
      </c>
      <c r="B441" s="226" t="s">
        <v>1633</v>
      </c>
      <c r="C441" s="226" t="s">
        <v>1632</v>
      </c>
      <c r="D441" s="226" t="s">
        <v>1631</v>
      </c>
      <c r="E441" s="226"/>
      <c r="F441" s="226"/>
      <c r="G441" s="220" t="str">
        <f t="shared" si="38"/>
        <v>//</v>
      </c>
      <c r="H441" s="242"/>
      <c r="I441" s="242"/>
      <c r="J441" s="225"/>
      <c r="K441" s="226"/>
      <c r="L441" s="226"/>
      <c r="M441" s="226" t="s">
        <v>869</v>
      </c>
      <c r="N441" s="230">
        <v>1</v>
      </c>
      <c r="O441" s="230"/>
      <c r="Q441" s="221">
        <v>10</v>
      </c>
      <c r="R441" s="112">
        <f t="shared" si="40"/>
        <v>0</v>
      </c>
      <c r="S441" s="223">
        <v>0</v>
      </c>
      <c r="T441" s="223">
        <f t="shared" si="41"/>
        <v>1</v>
      </c>
      <c r="V441" s="233"/>
      <c r="W441" s="223"/>
      <c r="X441" s="196" t="e">
        <f t="shared" si="39"/>
        <v>#VALUE!</v>
      </c>
    </row>
    <row r="442" spans="1:24" s="221" customFormat="1">
      <c r="A442" s="226" t="s">
        <v>1630</v>
      </c>
      <c r="B442" s="226" t="s">
        <v>1628</v>
      </c>
      <c r="C442" s="226"/>
      <c r="D442" s="226"/>
      <c r="E442" s="226"/>
      <c r="F442" s="226" t="s">
        <v>1452</v>
      </c>
      <c r="G442" s="220" t="str">
        <f t="shared" si="38"/>
        <v>10/4/2007</v>
      </c>
      <c r="H442" s="242">
        <v>10</v>
      </c>
      <c r="I442" s="242">
        <v>4</v>
      </c>
      <c r="J442" s="225">
        <v>2007</v>
      </c>
      <c r="K442" s="226" t="s">
        <v>30</v>
      </c>
      <c r="L442" s="226">
        <v>755830</v>
      </c>
      <c r="M442" s="226" t="s">
        <v>869</v>
      </c>
      <c r="N442" s="168">
        <v>9950.06</v>
      </c>
      <c r="O442" s="243" t="s">
        <v>1573</v>
      </c>
      <c r="Q442" s="221">
        <v>10</v>
      </c>
      <c r="R442" s="112">
        <f t="shared" si="40"/>
        <v>82.908833333333334</v>
      </c>
      <c r="S442" s="223">
        <f>X442*R442</f>
        <v>6964.3419999999996</v>
      </c>
      <c r="T442" s="223">
        <f t="shared" si="41"/>
        <v>2985.7179999999998</v>
      </c>
      <c r="U442" s="221">
        <v>9897</v>
      </c>
      <c r="V442" s="233"/>
      <c r="W442" s="223"/>
      <c r="X442" s="196">
        <f t="shared" si="39"/>
        <v>84</v>
      </c>
    </row>
    <row r="443" spans="1:24" s="221" customFormat="1">
      <c r="A443" s="226" t="s">
        <v>1629</v>
      </c>
      <c r="B443" s="226" t="s">
        <v>1628</v>
      </c>
      <c r="C443" s="226"/>
      <c r="D443" s="226"/>
      <c r="E443" s="226"/>
      <c r="F443" s="226" t="s">
        <v>1452</v>
      </c>
      <c r="G443" s="220" t="str">
        <f t="shared" si="38"/>
        <v>10/4/2007</v>
      </c>
      <c r="H443" s="242">
        <v>10</v>
      </c>
      <c r="I443" s="242">
        <v>4</v>
      </c>
      <c r="J443" s="225">
        <v>2007</v>
      </c>
      <c r="K443" s="226" t="s">
        <v>30</v>
      </c>
      <c r="L443" s="226">
        <v>755830</v>
      </c>
      <c r="M443" s="226" t="s">
        <v>869</v>
      </c>
      <c r="N443" s="168">
        <v>9950.06</v>
      </c>
      <c r="O443" s="243" t="s">
        <v>1122</v>
      </c>
      <c r="Q443" s="221">
        <v>10</v>
      </c>
      <c r="R443" s="112">
        <f t="shared" si="40"/>
        <v>82.908833333333334</v>
      </c>
      <c r="S443" s="223">
        <f>X443*R443</f>
        <v>6964.3419999999996</v>
      </c>
      <c r="T443" s="223">
        <f t="shared" si="41"/>
        <v>2985.7179999999998</v>
      </c>
      <c r="U443" s="221">
        <v>9897</v>
      </c>
      <c r="V443" s="233"/>
      <c r="W443" s="223"/>
      <c r="X443" s="196">
        <f t="shared" si="39"/>
        <v>84</v>
      </c>
    </row>
    <row r="444" spans="1:24" s="221" customFormat="1">
      <c r="A444" s="226" t="s">
        <v>1627</v>
      </c>
      <c r="B444" s="226" t="s">
        <v>1626</v>
      </c>
      <c r="C444" s="226" t="s">
        <v>1625</v>
      </c>
      <c r="D444" s="226"/>
      <c r="E444" s="226"/>
      <c r="F444" s="226" t="s">
        <v>1461</v>
      </c>
      <c r="G444" s="220" t="str">
        <f t="shared" si="38"/>
        <v>15/8/2007</v>
      </c>
      <c r="H444" s="242">
        <v>15</v>
      </c>
      <c r="I444" s="242">
        <v>8</v>
      </c>
      <c r="J444" s="225">
        <v>2007</v>
      </c>
      <c r="K444" s="226" t="s">
        <v>30</v>
      </c>
      <c r="L444" s="226">
        <v>58597</v>
      </c>
      <c r="M444" s="226" t="s">
        <v>869</v>
      </c>
      <c r="N444" s="168">
        <v>8050</v>
      </c>
      <c r="O444" s="243" t="s">
        <v>1122</v>
      </c>
      <c r="Q444" s="221">
        <v>10</v>
      </c>
      <c r="R444" s="112">
        <f t="shared" si="40"/>
        <v>67.075000000000003</v>
      </c>
      <c r="S444" s="223">
        <f>X444*R444</f>
        <v>5366</v>
      </c>
      <c r="T444" s="223">
        <f t="shared" si="41"/>
        <v>2684</v>
      </c>
      <c r="U444" s="221">
        <v>9901</v>
      </c>
      <c r="V444" s="233"/>
      <c r="W444" s="223"/>
      <c r="X444" s="196">
        <f t="shared" si="39"/>
        <v>80</v>
      </c>
    </row>
    <row r="445" spans="1:24" s="221" customFormat="1">
      <c r="A445" s="226" t="s">
        <v>1624</v>
      </c>
      <c r="B445" s="226" t="s">
        <v>1623</v>
      </c>
      <c r="C445" s="226" t="s">
        <v>484</v>
      </c>
      <c r="D445" s="226" t="s">
        <v>1622</v>
      </c>
      <c r="E445" s="226">
        <v>37249002</v>
      </c>
      <c r="F445" s="226"/>
      <c r="G445" s="220" t="str">
        <f t="shared" si="38"/>
        <v>//</v>
      </c>
      <c r="H445" s="242"/>
      <c r="I445" s="242"/>
      <c r="J445" s="225"/>
      <c r="K445" s="226"/>
      <c r="L445" s="225"/>
      <c r="M445" s="226" t="s">
        <v>869</v>
      </c>
      <c r="N445" s="230">
        <v>1</v>
      </c>
      <c r="O445" s="230"/>
      <c r="Q445" s="221">
        <v>10</v>
      </c>
      <c r="R445" s="112">
        <f t="shared" si="40"/>
        <v>0</v>
      </c>
      <c r="S445" s="223">
        <v>0</v>
      </c>
      <c r="T445" s="223">
        <f t="shared" si="41"/>
        <v>1</v>
      </c>
      <c r="V445" s="233"/>
      <c r="W445" s="223"/>
      <c r="X445" s="196" t="e">
        <f t="shared" si="39"/>
        <v>#VALUE!</v>
      </c>
    </row>
    <row r="446" spans="1:24" s="221" customFormat="1">
      <c r="A446" s="226" t="s">
        <v>1621</v>
      </c>
      <c r="B446" s="226" t="s">
        <v>1620</v>
      </c>
      <c r="C446" s="226" t="s">
        <v>1609</v>
      </c>
      <c r="D446" s="226" t="s">
        <v>1619</v>
      </c>
      <c r="E446" s="226" t="s">
        <v>1618</v>
      </c>
      <c r="F446" s="226"/>
      <c r="G446" s="220" t="str">
        <f t="shared" si="38"/>
        <v>31/12/2003</v>
      </c>
      <c r="H446" s="242">
        <v>31</v>
      </c>
      <c r="I446" s="242">
        <v>12</v>
      </c>
      <c r="J446" s="225">
        <v>2003</v>
      </c>
      <c r="K446" s="226"/>
      <c r="L446" s="226"/>
      <c r="M446" s="226" t="s">
        <v>869</v>
      </c>
      <c r="N446" s="230">
        <v>1560</v>
      </c>
      <c r="O446" s="230" t="s">
        <v>1617</v>
      </c>
      <c r="Q446" s="221">
        <v>10</v>
      </c>
      <c r="R446" s="112">
        <f t="shared" si="40"/>
        <v>12.991666666666667</v>
      </c>
      <c r="S446" s="223">
        <f t="shared" ref="S446:S455" si="43">X446*R446</f>
        <v>1559</v>
      </c>
      <c r="T446" s="223">
        <f t="shared" si="41"/>
        <v>1</v>
      </c>
      <c r="V446" s="233"/>
      <c r="W446" s="223"/>
      <c r="X446" s="196">
        <f t="shared" si="39"/>
        <v>120</v>
      </c>
    </row>
    <row r="447" spans="1:24" s="221" customFormat="1">
      <c r="A447" s="226" t="s">
        <v>1616</v>
      </c>
      <c r="B447" s="226" t="s">
        <v>1604</v>
      </c>
      <c r="C447" s="226" t="s">
        <v>480</v>
      </c>
      <c r="D447" s="226" t="s">
        <v>1615</v>
      </c>
      <c r="E447" s="226" t="s">
        <v>1614</v>
      </c>
      <c r="F447" s="226" t="s">
        <v>1613</v>
      </c>
      <c r="G447" s="220" t="str">
        <f t="shared" si="38"/>
        <v>5/5/2005</v>
      </c>
      <c r="H447" s="242">
        <v>5</v>
      </c>
      <c r="I447" s="242">
        <v>5</v>
      </c>
      <c r="J447" s="225">
        <v>2005</v>
      </c>
      <c r="K447" s="226" t="s">
        <v>1510</v>
      </c>
      <c r="L447" s="226">
        <v>1347</v>
      </c>
      <c r="M447" s="226" t="s">
        <v>869</v>
      </c>
      <c r="N447" s="230">
        <v>233906.16</v>
      </c>
      <c r="O447" s="230" t="s">
        <v>1612</v>
      </c>
      <c r="Q447" s="221">
        <v>10</v>
      </c>
      <c r="R447" s="112">
        <f t="shared" si="40"/>
        <v>1949.2096666666666</v>
      </c>
      <c r="S447" s="223">
        <f t="shared" si="43"/>
        <v>208565.43433333334</v>
      </c>
      <c r="T447" s="223">
        <f t="shared" si="41"/>
        <v>25340.725666666665</v>
      </c>
      <c r="U447" s="249" t="s">
        <v>1611</v>
      </c>
      <c r="V447" s="233"/>
      <c r="W447" s="223"/>
      <c r="X447" s="196">
        <f t="shared" si="39"/>
        <v>107</v>
      </c>
    </row>
    <row r="448" spans="1:24" s="221" customFormat="1">
      <c r="A448" s="226" t="s">
        <v>1610</v>
      </c>
      <c r="B448" s="226" t="s">
        <v>1604</v>
      </c>
      <c r="C448" s="226" t="s">
        <v>1609</v>
      </c>
      <c r="D448" s="226" t="s">
        <v>1608</v>
      </c>
      <c r="E448" s="226" t="s">
        <v>1607</v>
      </c>
      <c r="F448" s="226" t="s">
        <v>482</v>
      </c>
      <c r="G448" s="220" t="str">
        <f t="shared" si="38"/>
        <v>1/3/2005</v>
      </c>
      <c r="H448" s="242">
        <v>1</v>
      </c>
      <c r="I448" s="242">
        <v>3</v>
      </c>
      <c r="J448" s="225">
        <v>2005</v>
      </c>
      <c r="K448" s="226" t="s">
        <v>30</v>
      </c>
      <c r="L448" s="225">
        <v>33910</v>
      </c>
      <c r="M448" s="226" t="s">
        <v>869</v>
      </c>
      <c r="N448" s="230">
        <v>13499.99</v>
      </c>
      <c r="O448" s="230"/>
      <c r="Q448" s="221">
        <v>10</v>
      </c>
      <c r="R448" s="112">
        <f t="shared" si="40"/>
        <v>112.49158333333332</v>
      </c>
      <c r="S448" s="223">
        <f t="shared" si="43"/>
        <v>12261.582583333333</v>
      </c>
      <c r="T448" s="223">
        <f t="shared" si="41"/>
        <v>1238.4074166666669</v>
      </c>
      <c r="U448" s="221">
        <v>5774</v>
      </c>
      <c r="V448" s="233"/>
      <c r="W448" s="223"/>
      <c r="X448" s="196">
        <f t="shared" si="39"/>
        <v>109</v>
      </c>
    </row>
    <row r="449" spans="1:24" s="221" customFormat="1">
      <c r="A449" s="226" t="s">
        <v>1606</v>
      </c>
      <c r="B449" s="226" t="s">
        <v>1604</v>
      </c>
      <c r="C449" s="226" t="s">
        <v>484</v>
      </c>
      <c r="D449" s="226" t="s">
        <v>1603</v>
      </c>
      <c r="E449" s="226">
        <v>65068123</v>
      </c>
      <c r="F449" s="226" t="s">
        <v>1602</v>
      </c>
      <c r="G449" s="220" t="str">
        <f t="shared" si="38"/>
        <v>12/3/2007</v>
      </c>
      <c r="H449" s="226">
        <v>12</v>
      </c>
      <c r="I449" s="226">
        <v>3</v>
      </c>
      <c r="J449" s="226">
        <v>2007</v>
      </c>
      <c r="K449" s="243" t="s">
        <v>30</v>
      </c>
      <c r="L449" s="226">
        <v>2740</v>
      </c>
      <c r="M449" s="226" t="s">
        <v>869</v>
      </c>
      <c r="N449" s="247">
        <v>37500</v>
      </c>
      <c r="O449" s="248" t="s">
        <v>833</v>
      </c>
      <c r="Q449" s="221">
        <v>10</v>
      </c>
      <c r="R449" s="112">
        <f t="shared" si="40"/>
        <v>312.49166666666667</v>
      </c>
      <c r="S449" s="223">
        <f t="shared" si="43"/>
        <v>26561.791666666668</v>
      </c>
      <c r="T449" s="223">
        <f t="shared" si="41"/>
        <v>10938.208333333332</v>
      </c>
      <c r="U449" s="221">
        <v>9382</v>
      </c>
      <c r="V449" s="233"/>
      <c r="W449" s="223"/>
      <c r="X449" s="196">
        <f t="shared" si="39"/>
        <v>85</v>
      </c>
    </row>
    <row r="450" spans="1:24" s="221" customFormat="1" ht="31.5">
      <c r="A450" s="226" t="s">
        <v>1605</v>
      </c>
      <c r="B450" s="226" t="s">
        <v>1604</v>
      </c>
      <c r="C450" s="226" t="s">
        <v>484</v>
      </c>
      <c r="D450" s="226" t="s">
        <v>1603</v>
      </c>
      <c r="E450" s="226">
        <v>55010423</v>
      </c>
      <c r="F450" s="226" t="s">
        <v>1602</v>
      </c>
      <c r="G450" s="220" t="str">
        <f t="shared" si="38"/>
        <v>12/3/2007</v>
      </c>
      <c r="H450" s="226">
        <v>12</v>
      </c>
      <c r="I450" s="226">
        <v>3</v>
      </c>
      <c r="J450" s="226">
        <v>2007</v>
      </c>
      <c r="K450" s="243" t="s">
        <v>30</v>
      </c>
      <c r="L450" s="226">
        <v>2740</v>
      </c>
      <c r="M450" s="226" t="s">
        <v>869</v>
      </c>
      <c r="N450" s="247">
        <v>37500</v>
      </c>
      <c r="O450" s="246" t="s">
        <v>1601</v>
      </c>
      <c r="Q450" s="221">
        <v>10</v>
      </c>
      <c r="R450" s="112">
        <f t="shared" si="40"/>
        <v>312.49166666666667</v>
      </c>
      <c r="S450" s="223">
        <f t="shared" si="43"/>
        <v>26561.791666666668</v>
      </c>
      <c r="T450" s="223">
        <f t="shared" si="41"/>
        <v>10938.208333333332</v>
      </c>
      <c r="U450" s="221">
        <v>9382</v>
      </c>
      <c r="V450" s="233"/>
      <c r="W450" s="223"/>
      <c r="X450" s="196">
        <f t="shared" si="39"/>
        <v>85</v>
      </c>
    </row>
    <row r="451" spans="1:24" s="221" customFormat="1">
      <c r="A451" s="226" t="s">
        <v>1600</v>
      </c>
      <c r="B451" s="226" t="s">
        <v>1599</v>
      </c>
      <c r="C451" s="226" t="s">
        <v>1598</v>
      </c>
      <c r="D451" s="226"/>
      <c r="E451" s="226" t="s">
        <v>1597</v>
      </c>
      <c r="F451" s="226" t="s">
        <v>1592</v>
      </c>
      <c r="G451" s="220" t="str">
        <f t="shared" si="38"/>
        <v>11/2/2004</v>
      </c>
      <c r="H451" s="242">
        <v>11</v>
      </c>
      <c r="I451" s="242">
        <v>2</v>
      </c>
      <c r="J451" s="225">
        <v>2004</v>
      </c>
      <c r="K451" s="226" t="s">
        <v>30</v>
      </c>
      <c r="L451" s="226">
        <v>30591</v>
      </c>
      <c r="M451" s="226" t="s">
        <v>869</v>
      </c>
      <c r="N451" s="230">
        <v>2353.1799999999998</v>
      </c>
      <c r="O451" s="230"/>
      <c r="Q451" s="221">
        <v>10</v>
      </c>
      <c r="R451" s="112">
        <f t="shared" si="40"/>
        <v>19.601499999999998</v>
      </c>
      <c r="S451" s="223">
        <f t="shared" si="43"/>
        <v>2352.1799999999998</v>
      </c>
      <c r="T451" s="223">
        <f t="shared" si="41"/>
        <v>1</v>
      </c>
      <c r="U451" s="221">
        <v>3170</v>
      </c>
      <c r="V451" s="233"/>
      <c r="W451" s="223"/>
      <c r="X451" s="196">
        <f t="shared" si="39"/>
        <v>120</v>
      </c>
    </row>
    <row r="452" spans="1:24" s="221" customFormat="1">
      <c r="A452" s="226" t="s">
        <v>1596</v>
      </c>
      <c r="B452" s="226" t="s">
        <v>1595</v>
      </c>
      <c r="C452" s="226" t="s">
        <v>1594</v>
      </c>
      <c r="D452" s="226"/>
      <c r="E452" s="226" t="s">
        <v>1593</v>
      </c>
      <c r="F452" s="226" t="s">
        <v>1592</v>
      </c>
      <c r="G452" s="220" t="str">
        <f t="shared" si="38"/>
        <v>18/2/2006</v>
      </c>
      <c r="H452" s="242">
        <v>18</v>
      </c>
      <c r="I452" s="242">
        <v>2</v>
      </c>
      <c r="J452" s="225">
        <v>2006</v>
      </c>
      <c r="K452" s="226" t="s">
        <v>1510</v>
      </c>
      <c r="L452" s="226">
        <v>867</v>
      </c>
      <c r="M452" s="226" t="s">
        <v>869</v>
      </c>
      <c r="N452" s="230">
        <v>2984.52</v>
      </c>
      <c r="O452" s="230" t="s">
        <v>1591</v>
      </c>
      <c r="Q452" s="221">
        <v>10</v>
      </c>
      <c r="R452" s="112">
        <f t="shared" si="40"/>
        <v>24.862666666666666</v>
      </c>
      <c r="S452" s="223">
        <f t="shared" si="43"/>
        <v>2436.5413333333331</v>
      </c>
      <c r="T452" s="223">
        <f t="shared" si="41"/>
        <v>547.97866666666687</v>
      </c>
      <c r="U452" s="221">
        <v>3267</v>
      </c>
      <c r="V452" s="233"/>
      <c r="W452" s="223"/>
      <c r="X452" s="196">
        <f t="shared" si="39"/>
        <v>98</v>
      </c>
    </row>
    <row r="453" spans="1:24" s="221" customFormat="1">
      <c r="A453" s="226" t="s">
        <v>1590</v>
      </c>
      <c r="B453" s="226" t="s">
        <v>1587</v>
      </c>
      <c r="C453" s="226" t="s">
        <v>1586</v>
      </c>
      <c r="D453" s="226" t="s">
        <v>1585</v>
      </c>
      <c r="E453" s="226"/>
      <c r="F453" s="226" t="s">
        <v>1584</v>
      </c>
      <c r="G453" s="220" t="str">
        <f t="shared" si="38"/>
        <v>12/6/2007</v>
      </c>
      <c r="H453" s="242">
        <v>12</v>
      </c>
      <c r="I453" s="242">
        <v>6</v>
      </c>
      <c r="J453" s="225">
        <v>2007</v>
      </c>
      <c r="K453" s="226" t="s">
        <v>1583</v>
      </c>
      <c r="L453" s="226"/>
      <c r="M453" s="226" t="s">
        <v>869</v>
      </c>
      <c r="N453" s="230">
        <v>4193.3999999999996</v>
      </c>
      <c r="O453" s="230"/>
      <c r="Q453" s="221">
        <v>10</v>
      </c>
      <c r="R453" s="112">
        <f t="shared" si="40"/>
        <v>34.93666666666666</v>
      </c>
      <c r="S453" s="223">
        <f t="shared" si="43"/>
        <v>2864.8066666666659</v>
      </c>
      <c r="T453" s="223">
        <f t="shared" si="41"/>
        <v>1328.5933333333337</v>
      </c>
      <c r="U453" s="221">
        <v>9683</v>
      </c>
      <c r="V453" s="233"/>
      <c r="W453" s="223"/>
      <c r="X453" s="196">
        <f t="shared" si="39"/>
        <v>82</v>
      </c>
    </row>
    <row r="454" spans="1:24" s="221" customFormat="1">
      <c r="A454" s="226" t="s">
        <v>1589</v>
      </c>
      <c r="B454" s="226" t="s">
        <v>1587</v>
      </c>
      <c r="C454" s="226" t="s">
        <v>1586</v>
      </c>
      <c r="D454" s="226" t="s">
        <v>1585</v>
      </c>
      <c r="E454" s="226"/>
      <c r="F454" s="226" t="s">
        <v>1584</v>
      </c>
      <c r="G454" s="220" t="str">
        <f t="shared" si="38"/>
        <v>12/6/2007</v>
      </c>
      <c r="H454" s="242">
        <v>12</v>
      </c>
      <c r="I454" s="242">
        <v>6</v>
      </c>
      <c r="J454" s="225">
        <v>2007</v>
      </c>
      <c r="K454" s="226" t="s">
        <v>1583</v>
      </c>
      <c r="L454" s="226"/>
      <c r="M454" s="226" t="s">
        <v>869</v>
      </c>
      <c r="N454" s="230">
        <v>4193.3999999999996</v>
      </c>
      <c r="O454" s="230"/>
      <c r="Q454" s="221">
        <v>10</v>
      </c>
      <c r="R454" s="112">
        <f t="shared" si="40"/>
        <v>34.93666666666666</v>
      </c>
      <c r="S454" s="223">
        <f t="shared" si="43"/>
        <v>2864.8066666666659</v>
      </c>
      <c r="T454" s="223">
        <f t="shared" si="41"/>
        <v>1328.5933333333337</v>
      </c>
      <c r="U454" s="221">
        <v>9683</v>
      </c>
      <c r="V454" s="233"/>
      <c r="W454" s="223"/>
      <c r="X454" s="196">
        <f t="shared" si="39"/>
        <v>82</v>
      </c>
    </row>
    <row r="455" spans="1:24" s="221" customFormat="1">
      <c r="A455" s="226" t="s">
        <v>1588</v>
      </c>
      <c r="B455" s="226" t="s">
        <v>1587</v>
      </c>
      <c r="C455" s="226" t="s">
        <v>1586</v>
      </c>
      <c r="D455" s="226" t="s">
        <v>1585</v>
      </c>
      <c r="E455" s="226"/>
      <c r="F455" s="226" t="s">
        <v>1584</v>
      </c>
      <c r="G455" s="220" t="str">
        <f t="shared" ref="G455:G518" si="44">CONCATENATE(H455,"/",I455,"/",J455,)</f>
        <v>12/6/2007</v>
      </c>
      <c r="H455" s="242">
        <v>12</v>
      </c>
      <c r="I455" s="242">
        <v>6</v>
      </c>
      <c r="J455" s="225">
        <v>2007</v>
      </c>
      <c r="K455" s="226" t="s">
        <v>1583</v>
      </c>
      <c r="L455" s="226"/>
      <c r="M455" s="226" t="s">
        <v>869</v>
      </c>
      <c r="N455" s="230">
        <v>4193.3999999999996</v>
      </c>
      <c r="O455" s="230"/>
      <c r="Q455" s="221">
        <v>10</v>
      </c>
      <c r="R455" s="112">
        <f t="shared" si="40"/>
        <v>34.93666666666666</v>
      </c>
      <c r="S455" s="223">
        <f t="shared" si="43"/>
        <v>2864.8066666666659</v>
      </c>
      <c r="T455" s="223">
        <f t="shared" si="41"/>
        <v>1328.5933333333337</v>
      </c>
      <c r="U455" s="221">
        <v>9683</v>
      </c>
      <c r="V455" s="233"/>
      <c r="W455" s="223"/>
      <c r="X455" s="196">
        <f t="shared" ref="X455:X518" si="45">IF((DATEDIF(G455,X$4,"m"))&gt;=120,120,(DATEDIF(G455,X$4,"m")))</f>
        <v>82</v>
      </c>
    </row>
    <row r="456" spans="1:24" s="221" customFormat="1">
      <c r="A456" s="226" t="s">
        <v>1582</v>
      </c>
      <c r="B456" s="226" t="s">
        <v>1581</v>
      </c>
      <c r="C456" s="226" t="s">
        <v>1580</v>
      </c>
      <c r="D456" s="226" t="s">
        <v>1579</v>
      </c>
      <c r="E456" s="226" t="s">
        <v>1578</v>
      </c>
      <c r="F456" s="226"/>
      <c r="G456" s="220" t="str">
        <f t="shared" si="44"/>
        <v>//</v>
      </c>
      <c r="H456" s="242"/>
      <c r="I456" s="242"/>
      <c r="J456" s="225"/>
      <c r="K456" s="226"/>
      <c r="L456" s="226"/>
      <c r="M456" s="226" t="s">
        <v>869</v>
      </c>
      <c r="N456" s="168">
        <v>1</v>
      </c>
      <c r="O456" s="168"/>
      <c r="Q456" s="221">
        <v>10</v>
      </c>
      <c r="R456" s="112">
        <f t="shared" si="40"/>
        <v>0</v>
      </c>
      <c r="S456" s="223">
        <v>0</v>
      </c>
      <c r="T456" s="223">
        <f t="shared" si="41"/>
        <v>1</v>
      </c>
      <c r="V456" s="233"/>
      <c r="W456" s="223"/>
      <c r="X456" s="196" t="e">
        <f t="shared" si="45"/>
        <v>#VALUE!</v>
      </c>
    </row>
    <row r="457" spans="1:24" s="221" customFormat="1">
      <c r="A457" s="226" t="s">
        <v>1577</v>
      </c>
      <c r="B457" s="226" t="s">
        <v>1576</v>
      </c>
      <c r="C457" s="226" t="s">
        <v>1570</v>
      </c>
      <c r="D457" s="226" t="s">
        <v>1575</v>
      </c>
      <c r="E457" s="226"/>
      <c r="F457" s="226" t="s">
        <v>1452</v>
      </c>
      <c r="G457" s="220" t="str">
        <f t="shared" si="44"/>
        <v>10/4/2007</v>
      </c>
      <c r="H457" s="242">
        <v>10</v>
      </c>
      <c r="I457" s="242">
        <v>4</v>
      </c>
      <c r="J457" s="225">
        <v>2007</v>
      </c>
      <c r="K457" s="226" t="s">
        <v>30</v>
      </c>
      <c r="L457" s="226">
        <v>755830</v>
      </c>
      <c r="M457" s="226" t="s">
        <v>869</v>
      </c>
      <c r="N457" s="168">
        <v>38767.32</v>
      </c>
      <c r="O457" s="243" t="s">
        <v>1122</v>
      </c>
      <c r="Q457" s="221">
        <v>10</v>
      </c>
      <c r="R457" s="112">
        <f t="shared" ref="R457:R520" si="46">(((N457)-1)/10)/12</f>
        <v>323.05266666666665</v>
      </c>
      <c r="S457" s="223">
        <f t="shared" ref="S457:S465" si="47">X457*R457</f>
        <v>27136.423999999999</v>
      </c>
      <c r="T457" s="223">
        <f t="shared" si="41"/>
        <v>11630.896000000001</v>
      </c>
      <c r="U457" s="221">
        <v>9897</v>
      </c>
      <c r="V457" s="233"/>
      <c r="W457" s="223"/>
      <c r="X457" s="196">
        <f t="shared" si="45"/>
        <v>84</v>
      </c>
    </row>
    <row r="458" spans="1:24" s="221" customFormat="1">
      <c r="A458" s="226" t="s">
        <v>1574</v>
      </c>
      <c r="B458" s="226" t="s">
        <v>1571</v>
      </c>
      <c r="C458" s="226" t="s">
        <v>1570</v>
      </c>
      <c r="D458" s="226" t="s">
        <v>1569</v>
      </c>
      <c r="E458" s="226"/>
      <c r="F458" s="226" t="s">
        <v>1452</v>
      </c>
      <c r="G458" s="220" t="str">
        <f t="shared" si="44"/>
        <v>10/4/2007</v>
      </c>
      <c r="H458" s="242">
        <v>10</v>
      </c>
      <c r="I458" s="242">
        <v>4</v>
      </c>
      <c r="J458" s="225">
        <v>2007</v>
      </c>
      <c r="K458" s="226" t="s">
        <v>30</v>
      </c>
      <c r="L458" s="226">
        <v>755830</v>
      </c>
      <c r="M458" s="226" t="s">
        <v>869</v>
      </c>
      <c r="N458" s="168">
        <v>17499.93</v>
      </c>
      <c r="O458" s="243" t="s">
        <v>1573</v>
      </c>
      <c r="Q458" s="221">
        <v>10</v>
      </c>
      <c r="R458" s="112">
        <f t="shared" si="46"/>
        <v>145.82441666666668</v>
      </c>
      <c r="S458" s="223">
        <f t="shared" si="47"/>
        <v>12249.251</v>
      </c>
      <c r="T458" s="223">
        <f t="shared" ref="T458:T521" si="48">N458-S458</f>
        <v>5250.6790000000001</v>
      </c>
      <c r="U458" s="221">
        <v>9897</v>
      </c>
      <c r="V458" s="233"/>
      <c r="W458" s="223"/>
      <c r="X458" s="196">
        <f t="shared" si="45"/>
        <v>84</v>
      </c>
    </row>
    <row r="459" spans="1:24" s="221" customFormat="1">
      <c r="A459" s="226" t="s">
        <v>1572</v>
      </c>
      <c r="B459" s="226" t="s">
        <v>1571</v>
      </c>
      <c r="C459" s="226" t="s">
        <v>1570</v>
      </c>
      <c r="D459" s="226" t="s">
        <v>1569</v>
      </c>
      <c r="E459" s="226"/>
      <c r="F459" s="226" t="s">
        <v>1452</v>
      </c>
      <c r="G459" s="220" t="str">
        <f t="shared" si="44"/>
        <v>10/4/2007</v>
      </c>
      <c r="H459" s="242">
        <v>10</v>
      </c>
      <c r="I459" s="242">
        <v>4</v>
      </c>
      <c r="J459" s="225">
        <v>2007</v>
      </c>
      <c r="K459" s="226" t="s">
        <v>30</v>
      </c>
      <c r="L459" s="226">
        <v>755830</v>
      </c>
      <c r="M459" s="226" t="s">
        <v>869</v>
      </c>
      <c r="N459" s="168">
        <v>17499.93</v>
      </c>
      <c r="O459" s="243" t="s">
        <v>1122</v>
      </c>
      <c r="Q459" s="221">
        <v>10</v>
      </c>
      <c r="R459" s="112">
        <f t="shared" si="46"/>
        <v>145.82441666666668</v>
      </c>
      <c r="S459" s="223">
        <f t="shared" si="47"/>
        <v>12249.251</v>
      </c>
      <c r="T459" s="223">
        <f t="shared" si="48"/>
        <v>5250.6790000000001</v>
      </c>
      <c r="U459" s="221">
        <v>9897</v>
      </c>
      <c r="V459" s="233"/>
      <c r="W459" s="223"/>
      <c r="X459" s="196">
        <f t="shared" si="45"/>
        <v>84</v>
      </c>
    </row>
    <row r="460" spans="1:24" s="221" customFormat="1">
      <c r="A460" s="226" t="s">
        <v>1568</v>
      </c>
      <c r="B460" s="226" t="s">
        <v>1567</v>
      </c>
      <c r="C460" s="226" t="s">
        <v>81</v>
      </c>
      <c r="D460" s="226"/>
      <c r="E460" s="226" t="s">
        <v>1566</v>
      </c>
      <c r="F460" s="226" t="s">
        <v>1565</v>
      </c>
      <c r="G460" s="220" t="str">
        <f t="shared" si="44"/>
        <v>2/11/2005</v>
      </c>
      <c r="H460" s="242">
        <v>2</v>
      </c>
      <c r="I460" s="242">
        <v>11</v>
      </c>
      <c r="J460" s="225">
        <v>2005</v>
      </c>
      <c r="K460" s="226" t="s">
        <v>30</v>
      </c>
      <c r="L460" s="225">
        <v>11261</v>
      </c>
      <c r="M460" s="226" t="s">
        <v>869</v>
      </c>
      <c r="N460" s="230">
        <v>63200</v>
      </c>
      <c r="O460" s="230" t="s">
        <v>1564</v>
      </c>
      <c r="Q460" s="221">
        <v>10</v>
      </c>
      <c r="R460" s="112">
        <f t="shared" si="46"/>
        <v>526.6583333333333</v>
      </c>
      <c r="S460" s="223">
        <f t="shared" si="47"/>
        <v>53192.491666666661</v>
      </c>
      <c r="T460" s="223">
        <f t="shared" si="48"/>
        <v>10007.508333333339</v>
      </c>
      <c r="U460" s="221">
        <v>5585</v>
      </c>
      <c r="V460" s="233"/>
      <c r="W460" s="223"/>
      <c r="X460" s="196">
        <f t="shared" si="45"/>
        <v>101</v>
      </c>
    </row>
    <row r="461" spans="1:24" s="221" customFormat="1">
      <c r="A461" s="226" t="s">
        <v>1563</v>
      </c>
      <c r="B461" s="226" t="s">
        <v>1560</v>
      </c>
      <c r="C461" s="245" t="s">
        <v>1562</v>
      </c>
      <c r="D461" s="245"/>
      <c r="E461" s="226"/>
      <c r="F461" s="226" t="s">
        <v>1461</v>
      </c>
      <c r="G461" s="220" t="str">
        <f t="shared" si="44"/>
        <v>15/8/2007</v>
      </c>
      <c r="H461" s="242">
        <v>15</v>
      </c>
      <c r="I461" s="242">
        <v>8</v>
      </c>
      <c r="J461" s="225">
        <v>2007</v>
      </c>
      <c r="K461" s="226" t="s">
        <v>30</v>
      </c>
      <c r="L461" s="226">
        <v>58597</v>
      </c>
      <c r="M461" s="226" t="s">
        <v>869</v>
      </c>
      <c r="N461" s="168">
        <v>6880</v>
      </c>
      <c r="O461" s="243" t="s">
        <v>1530</v>
      </c>
      <c r="Q461" s="221">
        <v>10</v>
      </c>
      <c r="R461" s="112">
        <f t="shared" si="46"/>
        <v>57.324999999999996</v>
      </c>
      <c r="S461" s="223">
        <f t="shared" si="47"/>
        <v>4586</v>
      </c>
      <c r="T461" s="223">
        <f t="shared" si="48"/>
        <v>2294</v>
      </c>
      <c r="U461" s="221">
        <v>9901</v>
      </c>
      <c r="V461" s="233"/>
      <c r="W461" s="223"/>
      <c r="X461" s="196">
        <f t="shared" si="45"/>
        <v>80</v>
      </c>
    </row>
    <row r="462" spans="1:24" s="221" customFormat="1">
      <c r="A462" s="226" t="s">
        <v>1561</v>
      </c>
      <c r="B462" s="226" t="s">
        <v>1560</v>
      </c>
      <c r="C462" s="245" t="s">
        <v>1559</v>
      </c>
      <c r="D462" s="245">
        <v>500</v>
      </c>
      <c r="E462" s="226"/>
      <c r="F462" s="226" t="s">
        <v>1452</v>
      </c>
      <c r="G462" s="220" t="str">
        <f t="shared" si="44"/>
        <v>10/4/2007</v>
      </c>
      <c r="H462" s="242">
        <v>10</v>
      </c>
      <c r="I462" s="242">
        <v>4</v>
      </c>
      <c r="J462" s="225">
        <v>2007</v>
      </c>
      <c r="K462" s="226" t="s">
        <v>30</v>
      </c>
      <c r="L462" s="226">
        <v>755830</v>
      </c>
      <c r="M462" s="226" t="s">
        <v>869</v>
      </c>
      <c r="N462" s="168">
        <v>4785.41</v>
      </c>
      <c r="O462" s="243" t="s">
        <v>1536</v>
      </c>
      <c r="Q462" s="221">
        <v>10</v>
      </c>
      <c r="R462" s="112">
        <f t="shared" si="46"/>
        <v>39.870083333333334</v>
      </c>
      <c r="S462" s="223">
        <f t="shared" si="47"/>
        <v>3349.087</v>
      </c>
      <c r="T462" s="223">
        <f t="shared" si="48"/>
        <v>1436.3229999999999</v>
      </c>
      <c r="U462" s="221">
        <v>9897</v>
      </c>
      <c r="V462" s="233"/>
      <c r="W462" s="223"/>
      <c r="X462" s="196">
        <f t="shared" si="45"/>
        <v>84</v>
      </c>
    </row>
    <row r="463" spans="1:24" s="221" customFormat="1">
      <c r="A463" s="226" t="s">
        <v>1558</v>
      </c>
      <c r="B463" s="226" t="s">
        <v>1557</v>
      </c>
      <c r="C463" s="226" t="s">
        <v>1556</v>
      </c>
      <c r="D463" s="226" t="s">
        <v>1555</v>
      </c>
      <c r="E463" s="245" t="s">
        <v>1554</v>
      </c>
      <c r="F463" s="226" t="s">
        <v>1553</v>
      </c>
      <c r="G463" s="220" t="str">
        <f t="shared" si="44"/>
        <v>2/2/2004</v>
      </c>
      <c r="H463" s="242">
        <v>2</v>
      </c>
      <c r="I463" s="242">
        <v>2</v>
      </c>
      <c r="J463" s="225">
        <v>2004</v>
      </c>
      <c r="K463" s="226" t="s">
        <v>30</v>
      </c>
      <c r="L463" s="226">
        <v>299</v>
      </c>
      <c r="M463" s="226" t="s">
        <v>869</v>
      </c>
      <c r="N463" s="230">
        <v>8400</v>
      </c>
      <c r="O463" s="230" t="s">
        <v>833</v>
      </c>
      <c r="Q463" s="221">
        <v>10</v>
      </c>
      <c r="R463" s="112">
        <f t="shared" si="46"/>
        <v>69.99166666666666</v>
      </c>
      <c r="S463" s="223">
        <f t="shared" si="47"/>
        <v>8399</v>
      </c>
      <c r="T463" s="223">
        <f t="shared" si="48"/>
        <v>1</v>
      </c>
      <c r="U463" s="221">
        <v>3181</v>
      </c>
      <c r="V463" s="233"/>
      <c r="W463" s="223"/>
      <c r="X463" s="196">
        <f t="shared" si="45"/>
        <v>120</v>
      </c>
    </row>
    <row r="464" spans="1:24" s="221" customFormat="1">
      <c r="A464" s="226" t="s">
        <v>1552</v>
      </c>
      <c r="B464" s="226" t="s">
        <v>1551</v>
      </c>
      <c r="C464" s="226" t="s">
        <v>1550</v>
      </c>
      <c r="D464" s="226"/>
      <c r="E464" s="226"/>
      <c r="F464" s="226" t="s">
        <v>1549</v>
      </c>
      <c r="G464" s="220" t="str">
        <f t="shared" si="44"/>
        <v>27/5/2004</v>
      </c>
      <c r="H464" s="242">
        <v>27</v>
      </c>
      <c r="I464" s="242">
        <v>5</v>
      </c>
      <c r="J464" s="225">
        <v>2004</v>
      </c>
      <c r="K464" s="226" t="s">
        <v>30</v>
      </c>
      <c r="L464" s="225">
        <v>38138</v>
      </c>
      <c r="M464" s="226" t="s">
        <v>869</v>
      </c>
      <c r="N464" s="230">
        <v>4826.5</v>
      </c>
      <c r="O464" s="230" t="s">
        <v>593</v>
      </c>
      <c r="Q464" s="221">
        <v>10</v>
      </c>
      <c r="R464" s="112">
        <f t="shared" si="46"/>
        <v>40.212499999999999</v>
      </c>
      <c r="S464" s="223">
        <f t="shared" si="47"/>
        <v>4785.2874999999995</v>
      </c>
      <c r="T464" s="223">
        <f t="shared" si="48"/>
        <v>41.212500000000546</v>
      </c>
      <c r="U464" s="221">
        <v>3928</v>
      </c>
      <c r="V464" s="233"/>
      <c r="W464" s="223"/>
      <c r="X464" s="196">
        <f t="shared" si="45"/>
        <v>119</v>
      </c>
    </row>
    <row r="465" spans="1:24" s="221" customFormat="1">
      <c r="A465" s="226" t="s">
        <v>1548</v>
      </c>
      <c r="B465" s="226" t="s">
        <v>1547</v>
      </c>
      <c r="C465" s="226" t="s">
        <v>1546</v>
      </c>
      <c r="D465" s="226" t="s">
        <v>1545</v>
      </c>
      <c r="E465" s="226"/>
      <c r="F465" s="226" t="s">
        <v>1544</v>
      </c>
      <c r="G465" s="220" t="str">
        <f t="shared" si="44"/>
        <v>13/8/2004</v>
      </c>
      <c r="H465" s="242">
        <v>13</v>
      </c>
      <c r="I465" s="242">
        <v>8</v>
      </c>
      <c r="J465" s="225">
        <v>2004</v>
      </c>
      <c r="K465" s="226" t="s">
        <v>1543</v>
      </c>
      <c r="L465" s="225">
        <v>1086</v>
      </c>
      <c r="M465" s="226" t="s">
        <v>869</v>
      </c>
      <c r="N465" s="230">
        <v>15000</v>
      </c>
      <c r="O465" s="230" t="s">
        <v>1542</v>
      </c>
      <c r="Q465" s="221">
        <v>10</v>
      </c>
      <c r="R465" s="112">
        <f t="shared" si="46"/>
        <v>124.99166666666667</v>
      </c>
      <c r="S465" s="223">
        <f t="shared" si="47"/>
        <v>14499.033333333335</v>
      </c>
      <c r="T465" s="223">
        <f t="shared" si="48"/>
        <v>500.96666666666533</v>
      </c>
      <c r="U465" s="221">
        <v>4557</v>
      </c>
      <c r="V465" s="233"/>
      <c r="W465" s="223"/>
      <c r="X465" s="196">
        <f t="shared" si="45"/>
        <v>116</v>
      </c>
    </row>
    <row r="466" spans="1:24" s="221" customFormat="1">
      <c r="A466" s="226" t="s">
        <v>1541</v>
      </c>
      <c r="B466" s="226" t="s">
        <v>1540</v>
      </c>
      <c r="C466" s="226" t="s">
        <v>1539</v>
      </c>
      <c r="D466" s="226" t="s">
        <v>1538</v>
      </c>
      <c r="E466" s="226" t="s">
        <v>1537</v>
      </c>
      <c r="F466" s="226"/>
      <c r="G466" s="220" t="str">
        <f t="shared" si="44"/>
        <v>//</v>
      </c>
      <c r="H466" s="242"/>
      <c r="I466" s="242"/>
      <c r="J466" s="225"/>
      <c r="K466" s="226"/>
      <c r="L466" s="226"/>
      <c r="M466" s="226" t="s">
        <v>869</v>
      </c>
      <c r="N466" s="230">
        <v>1</v>
      </c>
      <c r="O466" s="230" t="s">
        <v>1536</v>
      </c>
      <c r="Q466" s="221">
        <v>10</v>
      </c>
      <c r="R466" s="112">
        <f t="shared" si="46"/>
        <v>0</v>
      </c>
      <c r="S466" s="223">
        <v>0</v>
      </c>
      <c r="T466" s="223">
        <f t="shared" si="48"/>
        <v>1</v>
      </c>
      <c r="V466" s="233"/>
      <c r="W466" s="223"/>
      <c r="X466" s="196" t="e">
        <f t="shared" si="45"/>
        <v>#VALUE!</v>
      </c>
    </row>
    <row r="467" spans="1:24" s="221" customFormat="1">
      <c r="A467" s="226" t="s">
        <v>1535</v>
      </c>
      <c r="B467" s="226" t="s">
        <v>1534</v>
      </c>
      <c r="C467" s="226" t="s">
        <v>956</v>
      </c>
      <c r="D467" s="226" t="s">
        <v>1533</v>
      </c>
      <c r="E467" s="226" t="s">
        <v>1532</v>
      </c>
      <c r="F467" s="226" t="s">
        <v>1531</v>
      </c>
      <c r="G467" s="220" t="str">
        <f t="shared" si="44"/>
        <v>1/12/2004</v>
      </c>
      <c r="H467" s="242">
        <v>1</v>
      </c>
      <c r="I467" s="242">
        <v>12</v>
      </c>
      <c r="J467" s="225">
        <v>2004</v>
      </c>
      <c r="K467" s="226" t="s">
        <v>1510</v>
      </c>
      <c r="L467" s="226">
        <v>792</v>
      </c>
      <c r="M467" s="226" t="s">
        <v>869</v>
      </c>
      <c r="N467" s="230">
        <v>17416</v>
      </c>
      <c r="O467" s="230" t="s">
        <v>1530</v>
      </c>
      <c r="Q467" s="221">
        <v>10</v>
      </c>
      <c r="R467" s="112">
        <f t="shared" si="46"/>
        <v>145.125</v>
      </c>
      <c r="S467" s="223">
        <f>X467*R467</f>
        <v>16254</v>
      </c>
      <c r="T467" s="223">
        <f t="shared" si="48"/>
        <v>1162</v>
      </c>
      <c r="U467" s="221">
        <v>2965</v>
      </c>
      <c r="V467" s="233"/>
      <c r="W467" s="223"/>
      <c r="X467" s="196">
        <f t="shared" si="45"/>
        <v>112</v>
      </c>
    </row>
    <row r="468" spans="1:24" s="221" customFormat="1" ht="31.5">
      <c r="A468" s="226" t="s">
        <v>1529</v>
      </c>
      <c r="B468" s="226" t="s">
        <v>1528</v>
      </c>
      <c r="C468" s="226"/>
      <c r="D468" s="226"/>
      <c r="E468" s="226"/>
      <c r="F468" s="226"/>
      <c r="G468" s="220" t="str">
        <f t="shared" si="44"/>
        <v>//</v>
      </c>
      <c r="H468" s="242"/>
      <c r="I468" s="242"/>
      <c r="J468" s="225"/>
      <c r="K468" s="226"/>
      <c r="L468" s="226"/>
      <c r="M468" s="226" t="s">
        <v>869</v>
      </c>
      <c r="N468" s="230">
        <v>1</v>
      </c>
      <c r="O468" s="199" t="s">
        <v>1527</v>
      </c>
      <c r="Q468" s="221">
        <v>10</v>
      </c>
      <c r="R468" s="112">
        <f t="shared" si="46"/>
        <v>0</v>
      </c>
      <c r="S468" s="223">
        <v>0</v>
      </c>
      <c r="T468" s="223">
        <f t="shared" si="48"/>
        <v>1</v>
      </c>
      <c r="V468" s="233"/>
      <c r="W468" s="223"/>
      <c r="X468" s="196" t="e">
        <f t="shared" si="45"/>
        <v>#VALUE!</v>
      </c>
    </row>
    <row r="469" spans="1:24" s="221" customFormat="1">
      <c r="A469" s="226" t="s">
        <v>1526</v>
      </c>
      <c r="B469" s="226" t="s">
        <v>1525</v>
      </c>
      <c r="C469" s="226" t="s">
        <v>1524</v>
      </c>
      <c r="D469" s="226"/>
      <c r="E469" s="226"/>
      <c r="F469" s="226" t="s">
        <v>1461</v>
      </c>
      <c r="G469" s="220" t="str">
        <f t="shared" si="44"/>
        <v>15/8/2007</v>
      </c>
      <c r="H469" s="242">
        <v>15</v>
      </c>
      <c r="I469" s="242">
        <v>8</v>
      </c>
      <c r="J469" s="225">
        <v>2007</v>
      </c>
      <c r="K469" s="226" t="s">
        <v>30</v>
      </c>
      <c r="L469" s="226">
        <v>58597</v>
      </c>
      <c r="M469" s="226" t="s">
        <v>869</v>
      </c>
      <c r="N469" s="168">
        <v>3770</v>
      </c>
      <c r="O469" s="168"/>
      <c r="Q469" s="221">
        <v>10</v>
      </c>
      <c r="R469" s="112">
        <f t="shared" si="46"/>
        <v>31.408333333333331</v>
      </c>
      <c r="S469" s="223">
        <f>X469*R469</f>
        <v>2512.6666666666665</v>
      </c>
      <c r="T469" s="223">
        <f t="shared" si="48"/>
        <v>1257.3333333333335</v>
      </c>
      <c r="U469" s="221">
        <v>9901</v>
      </c>
      <c r="V469" s="233"/>
      <c r="W469" s="223"/>
      <c r="X469" s="196">
        <f t="shared" si="45"/>
        <v>80</v>
      </c>
    </row>
    <row r="470" spans="1:24" s="221" customFormat="1">
      <c r="A470" s="226" t="s">
        <v>1523</v>
      </c>
      <c r="B470" s="226" t="s">
        <v>1522</v>
      </c>
      <c r="C470" s="226" t="s">
        <v>1521</v>
      </c>
      <c r="D470" s="226" t="s">
        <v>1520</v>
      </c>
      <c r="E470" s="226" t="s">
        <v>1519</v>
      </c>
      <c r="F470" s="226"/>
      <c r="G470" s="220" t="str">
        <f t="shared" si="44"/>
        <v>//</v>
      </c>
      <c r="H470" s="242"/>
      <c r="I470" s="242"/>
      <c r="J470" s="225"/>
      <c r="K470" s="226"/>
      <c r="L470" s="226"/>
      <c r="M470" s="226" t="s">
        <v>869</v>
      </c>
      <c r="N470" s="168">
        <v>1</v>
      </c>
      <c r="O470" s="243" t="s">
        <v>301</v>
      </c>
      <c r="Q470" s="221">
        <v>10</v>
      </c>
      <c r="R470" s="112">
        <f t="shared" si="46"/>
        <v>0</v>
      </c>
      <c r="S470" s="223">
        <v>0</v>
      </c>
      <c r="T470" s="223">
        <f t="shared" si="48"/>
        <v>1</v>
      </c>
      <c r="V470" s="233"/>
      <c r="W470" s="223"/>
      <c r="X470" s="196" t="e">
        <f>IF((DATEDIF(G470,X$4,"m"))&gt;=120,120,(DATEDIF(G470,X$4,"m")))</f>
        <v>#VALUE!</v>
      </c>
    </row>
    <row r="471" spans="1:24" s="221" customFormat="1">
      <c r="A471" s="469" t="s">
        <v>1518</v>
      </c>
      <c r="B471" s="469" t="s">
        <v>1517</v>
      </c>
      <c r="C471" s="469" t="s">
        <v>1516</v>
      </c>
      <c r="D471" s="469"/>
      <c r="E471" s="469"/>
      <c r="F471" s="469" t="s">
        <v>1461</v>
      </c>
      <c r="G471" s="470" t="str">
        <f t="shared" si="44"/>
        <v>17/12/2007</v>
      </c>
      <c r="H471" s="471">
        <v>17</v>
      </c>
      <c r="I471" s="471">
        <v>12</v>
      </c>
      <c r="J471" s="472">
        <v>2007</v>
      </c>
      <c r="K471" s="469" t="s">
        <v>30</v>
      </c>
      <c r="L471" s="469">
        <v>8042</v>
      </c>
      <c r="M471" s="469" t="s">
        <v>869</v>
      </c>
      <c r="N471" s="473">
        <v>4187.5</v>
      </c>
      <c r="O471" s="168"/>
      <c r="Q471" s="474">
        <v>10</v>
      </c>
      <c r="R471" s="475">
        <f t="shared" si="46"/>
        <v>34.887499999999996</v>
      </c>
      <c r="S471" s="476">
        <f t="shared" ref="S471:S495" si="49">X471*R471</f>
        <v>2651.45</v>
      </c>
      <c r="T471" s="476">
        <f t="shared" si="48"/>
        <v>1536.0500000000002</v>
      </c>
      <c r="U471" s="474">
        <v>10429</v>
      </c>
      <c r="V471" s="233"/>
      <c r="W471" s="223"/>
      <c r="X471" s="196">
        <f>IF((DATEDIF(G471,X$4,"m"))&gt;=120,120,(DATEDIF(G471,X$4,"m")))</f>
        <v>76</v>
      </c>
    </row>
    <row r="472" spans="1:24" s="221" customFormat="1">
      <c r="A472" s="226" t="s">
        <v>1515</v>
      </c>
      <c r="B472" s="226" t="s">
        <v>1514</v>
      </c>
      <c r="C472" s="226" t="s">
        <v>1513</v>
      </c>
      <c r="D472" s="226" t="s">
        <v>1512</v>
      </c>
      <c r="E472" s="226">
        <v>331155020</v>
      </c>
      <c r="F472" s="226" t="s">
        <v>1511</v>
      </c>
      <c r="G472" s="220" t="str">
        <f t="shared" si="44"/>
        <v>6/6/2003</v>
      </c>
      <c r="H472" s="242">
        <v>6</v>
      </c>
      <c r="I472" s="242">
        <v>6</v>
      </c>
      <c r="J472" s="225">
        <v>2003</v>
      </c>
      <c r="K472" s="226" t="s">
        <v>1510</v>
      </c>
      <c r="L472" s="226">
        <v>338</v>
      </c>
      <c r="M472" s="226" t="s">
        <v>869</v>
      </c>
      <c r="N472" s="230">
        <v>8955</v>
      </c>
      <c r="O472" s="230" t="s">
        <v>313</v>
      </c>
      <c r="Q472" s="221">
        <v>10</v>
      </c>
      <c r="R472" s="112">
        <f t="shared" si="46"/>
        <v>74.61666666666666</v>
      </c>
      <c r="S472" s="223">
        <f t="shared" si="49"/>
        <v>8954</v>
      </c>
      <c r="T472" s="223">
        <f t="shared" si="48"/>
        <v>1</v>
      </c>
      <c r="U472" s="221">
        <v>1436</v>
      </c>
      <c r="V472" s="233"/>
      <c r="W472" s="223"/>
      <c r="X472" s="196">
        <f t="shared" si="45"/>
        <v>120</v>
      </c>
    </row>
    <row r="473" spans="1:24" s="221" customFormat="1">
      <c r="A473" s="226" t="s">
        <v>1509</v>
      </c>
      <c r="B473" s="226" t="s">
        <v>1505</v>
      </c>
      <c r="C473" s="226" t="s">
        <v>1508</v>
      </c>
      <c r="D473" s="226">
        <v>18</v>
      </c>
      <c r="E473" s="226" t="s">
        <v>1507</v>
      </c>
      <c r="F473" s="226" t="s">
        <v>1421</v>
      </c>
      <c r="G473" s="220" t="str">
        <f t="shared" si="44"/>
        <v>14/1/2004</v>
      </c>
      <c r="H473" s="242">
        <v>14</v>
      </c>
      <c r="I473" s="242">
        <v>1</v>
      </c>
      <c r="J473" s="225">
        <v>2004</v>
      </c>
      <c r="K473" s="226" t="s">
        <v>30</v>
      </c>
      <c r="L473" s="226">
        <v>7074</v>
      </c>
      <c r="M473" s="226" t="s">
        <v>869</v>
      </c>
      <c r="N473" s="230">
        <v>1107.5999999999999</v>
      </c>
      <c r="O473" s="230" t="s">
        <v>833</v>
      </c>
      <c r="Q473" s="221">
        <v>10</v>
      </c>
      <c r="R473" s="112">
        <f t="shared" si="46"/>
        <v>9.2216666666666658</v>
      </c>
      <c r="S473" s="223">
        <f t="shared" si="49"/>
        <v>1106.5999999999999</v>
      </c>
      <c r="T473" s="223">
        <f t="shared" si="48"/>
        <v>1</v>
      </c>
      <c r="U473" s="221">
        <v>3175</v>
      </c>
      <c r="V473" s="233"/>
      <c r="W473" s="223"/>
      <c r="X473" s="196">
        <f t="shared" si="45"/>
        <v>120</v>
      </c>
    </row>
    <row r="474" spans="1:24" s="221" customFormat="1">
      <c r="A474" s="226" t="s">
        <v>1506</v>
      </c>
      <c r="B474" s="226" t="s">
        <v>1505</v>
      </c>
      <c r="C474" s="226" t="s">
        <v>1504</v>
      </c>
      <c r="D474" s="226"/>
      <c r="E474" s="226"/>
      <c r="F474" s="226" t="s">
        <v>1503</v>
      </c>
      <c r="G474" s="220" t="str">
        <f t="shared" si="44"/>
        <v>5/7/2004</v>
      </c>
      <c r="H474" s="242">
        <v>5</v>
      </c>
      <c r="I474" s="242">
        <v>7</v>
      </c>
      <c r="J474" s="225">
        <v>2004</v>
      </c>
      <c r="K474" s="226" t="s">
        <v>30</v>
      </c>
      <c r="L474" s="225">
        <v>7593</v>
      </c>
      <c r="M474" s="226" t="s">
        <v>869</v>
      </c>
      <c r="N474" s="230">
        <v>1105</v>
      </c>
      <c r="O474" s="230" t="s">
        <v>593</v>
      </c>
      <c r="Q474" s="221">
        <v>10</v>
      </c>
      <c r="R474" s="112">
        <f t="shared" si="46"/>
        <v>9.2000000000000011</v>
      </c>
      <c r="S474" s="223">
        <f t="shared" si="49"/>
        <v>1076.4000000000001</v>
      </c>
      <c r="T474" s="223">
        <f t="shared" si="48"/>
        <v>28.599999999999909</v>
      </c>
      <c r="U474" s="221">
        <v>4302</v>
      </c>
      <c r="V474" s="233"/>
      <c r="W474" s="223"/>
      <c r="X474" s="196">
        <f t="shared" si="45"/>
        <v>117</v>
      </c>
    </row>
    <row r="475" spans="1:24" s="221" customFormat="1">
      <c r="A475" s="226" t="s">
        <v>1502</v>
      </c>
      <c r="B475" s="226" t="s">
        <v>1501</v>
      </c>
      <c r="C475" s="226"/>
      <c r="D475" s="226" t="s">
        <v>1500</v>
      </c>
      <c r="E475" s="226"/>
      <c r="F475" s="226" t="s">
        <v>1452</v>
      </c>
      <c r="G475" s="220" t="str">
        <f t="shared" si="44"/>
        <v>10/4/2007</v>
      </c>
      <c r="H475" s="242">
        <v>10</v>
      </c>
      <c r="I475" s="242">
        <v>4</v>
      </c>
      <c r="J475" s="225">
        <v>2007</v>
      </c>
      <c r="K475" s="226" t="s">
        <v>30</v>
      </c>
      <c r="L475" s="226">
        <v>755830</v>
      </c>
      <c r="M475" s="226" t="s">
        <v>869</v>
      </c>
      <c r="N475" s="168">
        <v>2989.02</v>
      </c>
      <c r="O475" s="243" t="s">
        <v>1122</v>
      </c>
      <c r="Q475" s="221">
        <v>10</v>
      </c>
      <c r="R475" s="112">
        <f t="shared" si="46"/>
        <v>24.900166666666667</v>
      </c>
      <c r="S475" s="223">
        <f t="shared" si="49"/>
        <v>2091.614</v>
      </c>
      <c r="T475" s="223">
        <f t="shared" si="48"/>
        <v>897.40599999999995</v>
      </c>
      <c r="U475" s="221">
        <v>9897</v>
      </c>
      <c r="V475" s="233"/>
      <c r="W475" s="223"/>
      <c r="X475" s="196">
        <f t="shared" si="45"/>
        <v>84</v>
      </c>
    </row>
    <row r="476" spans="1:24" s="221" customFormat="1">
      <c r="A476" s="226" t="s">
        <v>1499</v>
      </c>
      <c r="B476" s="226" t="s">
        <v>1482</v>
      </c>
      <c r="C476" s="226" t="s">
        <v>484</v>
      </c>
      <c r="D476" s="226" t="s">
        <v>1498</v>
      </c>
      <c r="E476" s="226" t="s">
        <v>1497</v>
      </c>
      <c r="F476" s="226" t="s">
        <v>1421</v>
      </c>
      <c r="G476" s="220" t="str">
        <f t="shared" si="44"/>
        <v>16/5/2003</v>
      </c>
      <c r="H476" s="242">
        <v>16</v>
      </c>
      <c r="I476" s="242">
        <v>5</v>
      </c>
      <c r="J476" s="225">
        <v>2003</v>
      </c>
      <c r="K476" s="226" t="s">
        <v>30</v>
      </c>
      <c r="L476" s="226">
        <v>6412</v>
      </c>
      <c r="M476" s="226" t="s">
        <v>869</v>
      </c>
      <c r="N476" s="230">
        <v>1700</v>
      </c>
      <c r="O476" s="230"/>
      <c r="Q476" s="221">
        <v>10</v>
      </c>
      <c r="R476" s="112">
        <f t="shared" si="46"/>
        <v>14.158333333333333</v>
      </c>
      <c r="S476" s="223">
        <f t="shared" si="49"/>
        <v>1699</v>
      </c>
      <c r="T476" s="223">
        <f t="shared" si="48"/>
        <v>1</v>
      </c>
      <c r="U476" s="221">
        <v>1439</v>
      </c>
      <c r="V476" s="233"/>
      <c r="W476" s="223"/>
      <c r="X476" s="196">
        <f t="shared" si="45"/>
        <v>120</v>
      </c>
    </row>
    <row r="477" spans="1:24" s="221" customFormat="1">
      <c r="A477" s="226" t="s">
        <v>1496</v>
      </c>
      <c r="B477" s="226" t="s">
        <v>1482</v>
      </c>
      <c r="C477" s="226" t="s">
        <v>484</v>
      </c>
      <c r="D477" s="226" t="s">
        <v>1491</v>
      </c>
      <c r="E477" s="226" t="s">
        <v>1495</v>
      </c>
      <c r="F477" s="226" t="s">
        <v>1421</v>
      </c>
      <c r="G477" s="220" t="str">
        <f t="shared" si="44"/>
        <v>16/5/2003</v>
      </c>
      <c r="H477" s="242">
        <v>16</v>
      </c>
      <c r="I477" s="242">
        <v>5</v>
      </c>
      <c r="J477" s="225">
        <v>2003</v>
      </c>
      <c r="K477" s="226" t="s">
        <v>30</v>
      </c>
      <c r="L477" s="226">
        <v>8169</v>
      </c>
      <c r="M477" s="226" t="s">
        <v>869</v>
      </c>
      <c r="N477" s="230">
        <v>2825</v>
      </c>
      <c r="O477" s="230" t="s">
        <v>833</v>
      </c>
      <c r="Q477" s="221">
        <v>10</v>
      </c>
      <c r="R477" s="112">
        <f t="shared" si="46"/>
        <v>23.533333333333331</v>
      </c>
      <c r="S477" s="223">
        <f t="shared" si="49"/>
        <v>2824</v>
      </c>
      <c r="T477" s="223">
        <f t="shared" si="48"/>
        <v>1</v>
      </c>
      <c r="U477" s="221">
        <v>5817</v>
      </c>
      <c r="V477" s="233"/>
      <c r="W477" s="223"/>
      <c r="X477" s="196">
        <f t="shared" si="45"/>
        <v>120</v>
      </c>
    </row>
    <row r="478" spans="1:24" s="221" customFormat="1">
      <c r="A478" s="226" t="s">
        <v>1494</v>
      </c>
      <c r="B478" s="226" t="s">
        <v>1482</v>
      </c>
      <c r="C478" s="226" t="s">
        <v>484</v>
      </c>
      <c r="D478" s="226" t="s">
        <v>1477</v>
      </c>
      <c r="E478" s="226" t="s">
        <v>1493</v>
      </c>
      <c r="F478" s="226" t="s">
        <v>1421</v>
      </c>
      <c r="G478" s="220" t="str">
        <f t="shared" si="44"/>
        <v>16/5/2003</v>
      </c>
      <c r="H478" s="242">
        <v>16</v>
      </c>
      <c r="I478" s="242">
        <v>5</v>
      </c>
      <c r="J478" s="225">
        <v>2003</v>
      </c>
      <c r="K478" s="226" t="s">
        <v>30</v>
      </c>
      <c r="L478" s="226">
        <v>6412</v>
      </c>
      <c r="M478" s="226" t="s">
        <v>869</v>
      </c>
      <c r="N478" s="230">
        <v>1700</v>
      </c>
      <c r="O478" s="230"/>
      <c r="Q478" s="221">
        <v>10</v>
      </c>
      <c r="R478" s="112">
        <f t="shared" si="46"/>
        <v>14.158333333333333</v>
      </c>
      <c r="S478" s="223">
        <f t="shared" si="49"/>
        <v>1699</v>
      </c>
      <c r="T478" s="223">
        <f t="shared" si="48"/>
        <v>1</v>
      </c>
      <c r="U478" s="221">
        <v>1439</v>
      </c>
      <c r="V478" s="233"/>
      <c r="W478" s="223"/>
      <c r="X478" s="196">
        <f t="shared" si="45"/>
        <v>120</v>
      </c>
    </row>
    <row r="479" spans="1:24" s="221" customFormat="1">
      <c r="A479" s="226" t="s">
        <v>1492</v>
      </c>
      <c r="B479" s="226" t="s">
        <v>1482</v>
      </c>
      <c r="C479" s="226" t="s">
        <v>484</v>
      </c>
      <c r="D479" s="226" t="s">
        <v>1491</v>
      </c>
      <c r="E479" s="226" t="s">
        <v>1490</v>
      </c>
      <c r="F479" s="226" t="s">
        <v>1421</v>
      </c>
      <c r="G479" s="220" t="str">
        <f t="shared" si="44"/>
        <v>16/5/2006</v>
      </c>
      <c r="H479" s="242">
        <v>16</v>
      </c>
      <c r="I479" s="242">
        <v>5</v>
      </c>
      <c r="J479" s="225">
        <v>2006</v>
      </c>
      <c r="K479" s="226" t="s">
        <v>30</v>
      </c>
      <c r="L479" s="226">
        <v>8169</v>
      </c>
      <c r="M479" s="226" t="s">
        <v>869</v>
      </c>
      <c r="N479" s="230">
        <v>2825</v>
      </c>
      <c r="O479" s="230"/>
      <c r="Q479" s="221">
        <v>10</v>
      </c>
      <c r="R479" s="112">
        <f t="shared" si="46"/>
        <v>23.533333333333331</v>
      </c>
      <c r="S479" s="223">
        <f t="shared" si="49"/>
        <v>2235.6666666666665</v>
      </c>
      <c r="T479" s="223">
        <f t="shared" si="48"/>
        <v>589.33333333333348</v>
      </c>
      <c r="U479" s="221">
        <v>5817</v>
      </c>
      <c r="V479" s="233"/>
      <c r="W479" s="223"/>
      <c r="X479" s="196">
        <f t="shared" si="45"/>
        <v>95</v>
      </c>
    </row>
    <row r="480" spans="1:24" s="221" customFormat="1">
      <c r="A480" s="226" t="s">
        <v>1489</v>
      </c>
      <c r="B480" s="226" t="s">
        <v>1482</v>
      </c>
      <c r="C480" s="226" t="s">
        <v>484</v>
      </c>
      <c r="D480" s="226" t="s">
        <v>1477</v>
      </c>
      <c r="E480" s="226" t="s">
        <v>1488</v>
      </c>
      <c r="F480" s="226" t="s">
        <v>1421</v>
      </c>
      <c r="G480" s="220" t="str">
        <f t="shared" si="44"/>
        <v>16/5/2003</v>
      </c>
      <c r="H480" s="242">
        <v>16</v>
      </c>
      <c r="I480" s="242">
        <v>5</v>
      </c>
      <c r="J480" s="225">
        <v>2003</v>
      </c>
      <c r="K480" s="226" t="s">
        <v>30</v>
      </c>
      <c r="L480" s="226">
        <v>6412</v>
      </c>
      <c r="M480" s="226" t="s">
        <v>869</v>
      </c>
      <c r="N480" s="230">
        <v>1700</v>
      </c>
      <c r="O480" s="230" t="s">
        <v>1487</v>
      </c>
      <c r="Q480" s="221">
        <v>10</v>
      </c>
      <c r="R480" s="112">
        <f t="shared" si="46"/>
        <v>14.158333333333333</v>
      </c>
      <c r="S480" s="223">
        <f t="shared" si="49"/>
        <v>1699</v>
      </c>
      <c r="T480" s="223">
        <f t="shared" si="48"/>
        <v>1</v>
      </c>
      <c r="U480" s="221">
        <v>1439</v>
      </c>
      <c r="V480" s="233"/>
      <c r="W480" s="223"/>
      <c r="X480" s="196">
        <f t="shared" si="45"/>
        <v>120</v>
      </c>
    </row>
    <row r="481" spans="1:24" s="221" customFormat="1">
      <c r="A481" s="226" t="s">
        <v>1486</v>
      </c>
      <c r="B481" s="226" t="s">
        <v>1482</v>
      </c>
      <c r="C481" s="226" t="s">
        <v>484</v>
      </c>
      <c r="D481" s="226" t="s">
        <v>1477</v>
      </c>
      <c r="E481" s="226" t="s">
        <v>1485</v>
      </c>
      <c r="F481" s="226" t="s">
        <v>1421</v>
      </c>
      <c r="G481" s="220" t="str">
        <f t="shared" si="44"/>
        <v>16/5/2003</v>
      </c>
      <c r="H481" s="242">
        <v>16</v>
      </c>
      <c r="I481" s="242">
        <v>5</v>
      </c>
      <c r="J481" s="225">
        <v>2003</v>
      </c>
      <c r="K481" s="226" t="s">
        <v>30</v>
      </c>
      <c r="L481" s="226">
        <v>6412</v>
      </c>
      <c r="M481" s="226" t="s">
        <v>869</v>
      </c>
      <c r="N481" s="168">
        <v>1700</v>
      </c>
      <c r="O481" s="243" t="s">
        <v>1484</v>
      </c>
      <c r="Q481" s="221">
        <v>10</v>
      </c>
      <c r="R481" s="112">
        <f t="shared" si="46"/>
        <v>14.158333333333333</v>
      </c>
      <c r="S481" s="223">
        <f t="shared" si="49"/>
        <v>1699</v>
      </c>
      <c r="T481" s="223">
        <f t="shared" si="48"/>
        <v>1</v>
      </c>
      <c r="U481" s="221">
        <v>1439</v>
      </c>
      <c r="V481" s="233"/>
      <c r="W481" s="223"/>
      <c r="X481" s="196">
        <f t="shared" si="45"/>
        <v>120</v>
      </c>
    </row>
    <row r="482" spans="1:24" s="221" customFormat="1">
      <c r="A482" s="226" t="s">
        <v>1483</v>
      </c>
      <c r="B482" s="226" t="s">
        <v>1482</v>
      </c>
      <c r="C482" s="226" t="s">
        <v>484</v>
      </c>
      <c r="D482" s="226" t="s">
        <v>1481</v>
      </c>
      <c r="E482" s="226" t="s">
        <v>1480</v>
      </c>
      <c r="F482" s="226" t="s">
        <v>1421</v>
      </c>
      <c r="G482" s="220" t="str">
        <f t="shared" si="44"/>
        <v>26/10/2005</v>
      </c>
      <c r="H482" s="242">
        <v>26</v>
      </c>
      <c r="I482" s="242">
        <v>10</v>
      </c>
      <c r="J482" s="225">
        <v>2005</v>
      </c>
      <c r="K482" s="226" t="s">
        <v>30</v>
      </c>
      <c r="L482" s="226">
        <v>9074</v>
      </c>
      <c r="M482" s="226" t="s">
        <v>869</v>
      </c>
      <c r="N482" s="168">
        <v>2500</v>
      </c>
      <c r="O482" s="168"/>
      <c r="Q482" s="221">
        <v>10</v>
      </c>
      <c r="R482" s="112">
        <f t="shared" si="46"/>
        <v>20.824999999999999</v>
      </c>
      <c r="S482" s="223">
        <f t="shared" si="49"/>
        <v>2124.15</v>
      </c>
      <c r="T482" s="223">
        <f t="shared" si="48"/>
        <v>375.84999999999991</v>
      </c>
      <c r="U482" s="221">
        <v>7552</v>
      </c>
      <c r="V482" s="233"/>
      <c r="W482" s="223"/>
      <c r="X482" s="196">
        <f t="shared" si="45"/>
        <v>102</v>
      </c>
    </row>
    <row r="483" spans="1:24" s="221" customFormat="1">
      <c r="A483" s="226" t="s">
        <v>1479</v>
      </c>
      <c r="B483" s="226" t="s">
        <v>1478</v>
      </c>
      <c r="C483" s="226" t="s">
        <v>484</v>
      </c>
      <c r="D483" s="226" t="s">
        <v>1477</v>
      </c>
      <c r="E483" s="226" t="s">
        <v>1476</v>
      </c>
      <c r="F483" s="226" t="s">
        <v>1475</v>
      </c>
      <c r="G483" s="220" t="str">
        <f t="shared" si="44"/>
        <v>2/8/2005</v>
      </c>
      <c r="H483" s="242">
        <v>2</v>
      </c>
      <c r="I483" s="242">
        <v>8</v>
      </c>
      <c r="J483" s="225">
        <v>2005</v>
      </c>
      <c r="K483" s="226" t="s">
        <v>30</v>
      </c>
      <c r="L483" s="226">
        <v>23028</v>
      </c>
      <c r="M483" s="226" t="s">
        <v>869</v>
      </c>
      <c r="N483" s="168">
        <v>2100</v>
      </c>
      <c r="O483" s="243" t="s">
        <v>301</v>
      </c>
      <c r="Q483" s="221">
        <v>10</v>
      </c>
      <c r="R483" s="112">
        <f t="shared" si="46"/>
        <v>17.491666666666667</v>
      </c>
      <c r="S483" s="223">
        <f t="shared" si="49"/>
        <v>1819.1333333333334</v>
      </c>
      <c r="T483" s="223">
        <f t="shared" si="48"/>
        <v>280.86666666666656</v>
      </c>
      <c r="U483" s="221">
        <v>6961</v>
      </c>
      <c r="V483" s="233"/>
      <c r="W483" s="223"/>
      <c r="X483" s="196">
        <f t="shared" si="45"/>
        <v>104</v>
      </c>
    </row>
    <row r="484" spans="1:24" s="221" customFormat="1" ht="31.5">
      <c r="A484" s="226" t="s">
        <v>1474</v>
      </c>
      <c r="B484" s="226" t="s">
        <v>1473</v>
      </c>
      <c r="C484" s="226" t="s">
        <v>746</v>
      </c>
      <c r="D484" s="226" t="s">
        <v>1458</v>
      </c>
      <c r="E484" s="226" t="s">
        <v>1472</v>
      </c>
      <c r="F484" s="226" t="s">
        <v>55</v>
      </c>
      <c r="G484" s="220" t="str">
        <f t="shared" si="44"/>
        <v>2/1/2004</v>
      </c>
      <c r="H484" s="242">
        <v>2</v>
      </c>
      <c r="I484" s="242">
        <v>1</v>
      </c>
      <c r="J484" s="225">
        <v>2004</v>
      </c>
      <c r="K484" s="226" t="s">
        <v>30</v>
      </c>
      <c r="L484" s="226">
        <v>4785</v>
      </c>
      <c r="M484" s="226" t="s">
        <v>869</v>
      </c>
      <c r="N484" s="230">
        <v>7807</v>
      </c>
      <c r="O484" s="199" t="s">
        <v>1471</v>
      </c>
      <c r="Q484" s="221">
        <v>10</v>
      </c>
      <c r="R484" s="112">
        <f t="shared" si="46"/>
        <v>65.05</v>
      </c>
      <c r="S484" s="223">
        <f t="shared" si="49"/>
        <v>7806</v>
      </c>
      <c r="T484" s="223">
        <f t="shared" si="48"/>
        <v>1</v>
      </c>
      <c r="U484" s="221">
        <v>3171</v>
      </c>
      <c r="V484" s="233"/>
      <c r="W484" s="223"/>
      <c r="X484" s="196">
        <f t="shared" si="45"/>
        <v>120</v>
      </c>
    </row>
    <row r="485" spans="1:24" s="221" customFormat="1">
      <c r="A485" s="226" t="s">
        <v>1470</v>
      </c>
      <c r="B485" s="226" t="s">
        <v>1469</v>
      </c>
      <c r="C485" s="226" t="s">
        <v>1468</v>
      </c>
      <c r="D485" s="226" t="s">
        <v>1458</v>
      </c>
      <c r="E485" s="226" t="s">
        <v>1467</v>
      </c>
      <c r="F485" s="226" t="s">
        <v>55</v>
      </c>
      <c r="G485" s="220" t="str">
        <f t="shared" si="44"/>
        <v>2/11/2004</v>
      </c>
      <c r="H485" s="242">
        <v>2</v>
      </c>
      <c r="I485" s="242">
        <v>11</v>
      </c>
      <c r="J485" s="225">
        <v>2004</v>
      </c>
      <c r="K485" s="226" t="s">
        <v>30</v>
      </c>
      <c r="L485" s="226">
        <v>4785</v>
      </c>
      <c r="M485" s="226" t="s">
        <v>869</v>
      </c>
      <c r="N485" s="168">
        <v>7807</v>
      </c>
      <c r="O485" s="243" t="s">
        <v>1466</v>
      </c>
      <c r="Q485" s="221">
        <v>10</v>
      </c>
      <c r="R485" s="112">
        <f t="shared" si="46"/>
        <v>65.05</v>
      </c>
      <c r="S485" s="223">
        <f t="shared" si="49"/>
        <v>7350.65</v>
      </c>
      <c r="T485" s="223">
        <f t="shared" si="48"/>
        <v>456.35000000000036</v>
      </c>
      <c r="U485" s="221">
        <v>3171</v>
      </c>
      <c r="V485" s="233"/>
      <c r="W485" s="223"/>
      <c r="X485" s="196">
        <f t="shared" si="45"/>
        <v>113</v>
      </c>
    </row>
    <row r="486" spans="1:24" s="221" customFormat="1">
      <c r="A486" s="226" t="s">
        <v>1465</v>
      </c>
      <c r="B486" s="226" t="s">
        <v>1464</v>
      </c>
      <c r="C486" s="226" t="s">
        <v>1463</v>
      </c>
      <c r="D486" s="226"/>
      <c r="E486" s="226" t="s">
        <v>1462</v>
      </c>
      <c r="F486" s="226" t="s">
        <v>1461</v>
      </c>
      <c r="G486" s="220" t="str">
        <f t="shared" si="44"/>
        <v>17/12/2007</v>
      </c>
      <c r="H486" s="242">
        <v>17</v>
      </c>
      <c r="I486" s="242">
        <v>12</v>
      </c>
      <c r="J486" s="225">
        <v>2007</v>
      </c>
      <c r="K486" s="226" t="s">
        <v>30</v>
      </c>
      <c r="L486" s="226">
        <v>8042</v>
      </c>
      <c r="M486" s="226" t="s">
        <v>869</v>
      </c>
      <c r="N486" s="168">
        <v>11557.5</v>
      </c>
      <c r="O486" s="168" t="s">
        <v>824</v>
      </c>
      <c r="Q486" s="221">
        <v>10</v>
      </c>
      <c r="R486" s="112">
        <f t="shared" si="46"/>
        <v>96.304166666666674</v>
      </c>
      <c r="S486" s="223">
        <f t="shared" si="49"/>
        <v>7319.1166666666668</v>
      </c>
      <c r="T486" s="223">
        <f t="shared" si="48"/>
        <v>4238.3833333333332</v>
      </c>
      <c r="U486" s="221">
        <v>10429</v>
      </c>
      <c r="V486" s="233"/>
      <c r="W486" s="223"/>
      <c r="X486" s="196">
        <f t="shared" si="45"/>
        <v>76</v>
      </c>
    </row>
    <row r="487" spans="1:24" s="221" customFormat="1">
      <c r="A487" s="226" t="s">
        <v>1460</v>
      </c>
      <c r="B487" s="226" t="s">
        <v>1459</v>
      </c>
      <c r="C487" s="226" t="s">
        <v>746</v>
      </c>
      <c r="D487" s="226" t="s">
        <v>1458</v>
      </c>
      <c r="E487" s="226" t="s">
        <v>1457</v>
      </c>
      <c r="F487" s="226" t="s">
        <v>55</v>
      </c>
      <c r="G487" s="220" t="str">
        <f t="shared" si="44"/>
        <v>2/1/2004</v>
      </c>
      <c r="H487" s="242">
        <v>2</v>
      </c>
      <c r="I487" s="242">
        <v>1</v>
      </c>
      <c r="J487" s="225">
        <v>2004</v>
      </c>
      <c r="K487" s="226" t="s">
        <v>30</v>
      </c>
      <c r="L487" s="226">
        <v>4785</v>
      </c>
      <c r="M487" s="226" t="s">
        <v>869</v>
      </c>
      <c r="N487" s="230">
        <v>7807</v>
      </c>
      <c r="O487" s="230" t="s">
        <v>824</v>
      </c>
      <c r="Q487" s="221">
        <v>10</v>
      </c>
      <c r="R487" s="112">
        <f t="shared" si="46"/>
        <v>65.05</v>
      </c>
      <c r="S487" s="223">
        <f t="shared" si="49"/>
        <v>7806</v>
      </c>
      <c r="T487" s="223">
        <f t="shared" si="48"/>
        <v>1</v>
      </c>
      <c r="U487" s="221">
        <v>3171</v>
      </c>
      <c r="V487" s="233"/>
      <c r="W487" s="223"/>
      <c r="X487" s="196">
        <f t="shared" si="45"/>
        <v>120</v>
      </c>
    </row>
    <row r="488" spans="1:24" s="221" customFormat="1" ht="31.5">
      <c r="A488" s="226" t="s">
        <v>1456</v>
      </c>
      <c r="B488" s="226" t="s">
        <v>1455</v>
      </c>
      <c r="C488" s="226" t="s">
        <v>1454</v>
      </c>
      <c r="D488" s="226" t="s">
        <v>1453</v>
      </c>
      <c r="E488" s="226"/>
      <c r="F488" s="226" t="s">
        <v>1452</v>
      </c>
      <c r="G488" s="220" t="str">
        <f t="shared" si="44"/>
        <v>4/7/2007</v>
      </c>
      <c r="H488" s="242">
        <v>4</v>
      </c>
      <c r="I488" s="242">
        <v>7</v>
      </c>
      <c r="J488" s="225">
        <v>2007</v>
      </c>
      <c r="K488" s="226" t="s">
        <v>30</v>
      </c>
      <c r="L488" s="226" t="s">
        <v>1451</v>
      </c>
      <c r="M488" s="226" t="s">
        <v>869</v>
      </c>
      <c r="N488" s="168">
        <v>22878.61</v>
      </c>
      <c r="O488" s="244" t="s">
        <v>1450</v>
      </c>
      <c r="Q488" s="221">
        <v>10</v>
      </c>
      <c r="R488" s="112">
        <f t="shared" si="46"/>
        <v>190.64675</v>
      </c>
      <c r="S488" s="223">
        <f t="shared" si="49"/>
        <v>15442.38675</v>
      </c>
      <c r="T488" s="223">
        <f t="shared" si="48"/>
        <v>7436.2232500000009</v>
      </c>
      <c r="U488" s="221">
        <v>9777</v>
      </c>
      <c r="V488" s="233"/>
      <c r="W488" s="223"/>
      <c r="X488" s="196">
        <f t="shared" si="45"/>
        <v>81</v>
      </c>
    </row>
    <row r="489" spans="1:24" s="221" customFormat="1">
      <c r="A489" s="226" t="s">
        <v>1449</v>
      </c>
      <c r="B489" s="226" t="s">
        <v>1448</v>
      </c>
      <c r="C489" s="226" t="s">
        <v>1447</v>
      </c>
      <c r="D489" s="226" t="s">
        <v>1435</v>
      </c>
      <c r="E489" s="226"/>
      <c r="F489" s="226" t="s">
        <v>1446</v>
      </c>
      <c r="G489" s="220" t="str">
        <f t="shared" si="44"/>
        <v>12/5/2003</v>
      </c>
      <c r="H489" s="242">
        <v>12</v>
      </c>
      <c r="I489" s="242">
        <v>5</v>
      </c>
      <c r="J489" s="225">
        <v>2003</v>
      </c>
      <c r="K489" s="226" t="s">
        <v>30</v>
      </c>
      <c r="L489" s="226">
        <v>46219</v>
      </c>
      <c r="M489" s="226" t="s">
        <v>869</v>
      </c>
      <c r="N489" s="230">
        <v>4924</v>
      </c>
      <c r="O489" s="230" t="s">
        <v>833</v>
      </c>
      <c r="Q489" s="221">
        <v>10</v>
      </c>
      <c r="R489" s="112">
        <f t="shared" si="46"/>
        <v>41.024999999999999</v>
      </c>
      <c r="S489" s="223">
        <f t="shared" si="49"/>
        <v>4923</v>
      </c>
      <c r="T489" s="223">
        <f t="shared" si="48"/>
        <v>1</v>
      </c>
      <c r="V489" s="233"/>
      <c r="W489" s="223"/>
      <c r="X489" s="196">
        <f t="shared" si="45"/>
        <v>120</v>
      </c>
    </row>
    <row r="490" spans="1:24" s="221" customFormat="1">
      <c r="A490" s="226" t="s">
        <v>1445</v>
      </c>
      <c r="B490" s="226" t="s">
        <v>1440</v>
      </c>
      <c r="C490" s="226" t="s">
        <v>1444</v>
      </c>
      <c r="D490" s="226" t="s">
        <v>1443</v>
      </c>
      <c r="E490" s="226"/>
      <c r="F490" s="226" t="s">
        <v>1438</v>
      </c>
      <c r="G490" s="220" t="str">
        <f t="shared" si="44"/>
        <v>28/9/2007</v>
      </c>
      <c r="H490" s="242">
        <v>28</v>
      </c>
      <c r="I490" s="242">
        <v>9</v>
      </c>
      <c r="J490" s="225">
        <v>2007</v>
      </c>
      <c r="K490" s="226" t="s">
        <v>30</v>
      </c>
      <c r="L490" s="226">
        <v>1791</v>
      </c>
      <c r="M490" s="226" t="s">
        <v>869</v>
      </c>
      <c r="N490" s="168">
        <v>34800</v>
      </c>
      <c r="O490" s="243" t="s">
        <v>1442</v>
      </c>
      <c r="Q490" s="221">
        <v>10</v>
      </c>
      <c r="R490" s="112">
        <f t="shared" si="46"/>
        <v>289.99166666666667</v>
      </c>
      <c r="S490" s="223">
        <f t="shared" si="49"/>
        <v>22909.341666666667</v>
      </c>
      <c r="T490" s="223">
        <f t="shared" si="48"/>
        <v>11890.658333333333</v>
      </c>
      <c r="U490" s="221">
        <v>10046</v>
      </c>
      <c r="V490" s="233"/>
      <c r="W490" s="223"/>
      <c r="X490" s="196">
        <f t="shared" si="45"/>
        <v>79</v>
      </c>
    </row>
    <row r="491" spans="1:24" s="221" customFormat="1">
      <c r="A491" s="226" t="s">
        <v>1441</v>
      </c>
      <c r="B491" s="226" t="s">
        <v>1440</v>
      </c>
      <c r="C491" s="226" t="s">
        <v>1439</v>
      </c>
      <c r="D491" s="226">
        <v>2360</v>
      </c>
      <c r="E491" s="226"/>
      <c r="F491" s="226" t="s">
        <v>1438</v>
      </c>
      <c r="G491" s="220" t="str">
        <f t="shared" si="44"/>
        <v>28/9/2007</v>
      </c>
      <c r="H491" s="242">
        <v>28</v>
      </c>
      <c r="I491" s="242">
        <v>9</v>
      </c>
      <c r="J491" s="225">
        <v>2007</v>
      </c>
      <c r="K491" s="226" t="s">
        <v>30</v>
      </c>
      <c r="L491" s="226">
        <v>1791</v>
      </c>
      <c r="M491" s="226" t="s">
        <v>869</v>
      </c>
      <c r="N491" s="168">
        <v>34800</v>
      </c>
      <c r="O491" s="168"/>
      <c r="Q491" s="221">
        <v>10</v>
      </c>
      <c r="R491" s="112">
        <f t="shared" si="46"/>
        <v>289.99166666666667</v>
      </c>
      <c r="S491" s="223">
        <f t="shared" si="49"/>
        <v>22909.341666666667</v>
      </c>
      <c r="T491" s="223">
        <f t="shared" si="48"/>
        <v>11890.658333333333</v>
      </c>
      <c r="U491" s="221">
        <v>10046</v>
      </c>
      <c r="V491" s="233"/>
      <c r="W491" s="223"/>
      <c r="X491" s="196">
        <f t="shared" si="45"/>
        <v>79</v>
      </c>
    </row>
    <row r="492" spans="1:24" s="221" customFormat="1">
      <c r="A492" s="226" t="s">
        <v>1437</v>
      </c>
      <c r="B492" s="226" t="s">
        <v>1436</v>
      </c>
      <c r="C492" s="226" t="s">
        <v>1432</v>
      </c>
      <c r="D492" s="226" t="s">
        <v>1435</v>
      </c>
      <c r="E492" s="226"/>
      <c r="F492" s="226" t="s">
        <v>1421</v>
      </c>
      <c r="G492" s="220" t="str">
        <f t="shared" si="44"/>
        <v>12/5/2003</v>
      </c>
      <c r="H492" s="242">
        <v>12</v>
      </c>
      <c r="I492" s="242">
        <v>5</v>
      </c>
      <c r="J492" s="225">
        <v>2003</v>
      </c>
      <c r="K492" s="226" t="s">
        <v>30</v>
      </c>
      <c r="L492" s="226">
        <v>46219</v>
      </c>
      <c r="M492" s="226" t="s">
        <v>869</v>
      </c>
      <c r="N492" s="230">
        <v>4942</v>
      </c>
      <c r="O492" s="230" t="s">
        <v>1420</v>
      </c>
      <c r="Q492" s="221">
        <v>10</v>
      </c>
      <c r="R492" s="112">
        <f t="shared" si="46"/>
        <v>41.175000000000004</v>
      </c>
      <c r="S492" s="223">
        <f t="shared" si="49"/>
        <v>4941.0000000000009</v>
      </c>
      <c r="T492" s="223">
        <f t="shared" si="48"/>
        <v>0.99999999999909051</v>
      </c>
      <c r="U492" s="221">
        <v>2560</v>
      </c>
      <c r="V492" s="233"/>
      <c r="W492" s="223"/>
      <c r="X492" s="196">
        <f t="shared" si="45"/>
        <v>120</v>
      </c>
    </row>
    <row r="493" spans="1:24" s="221" customFormat="1">
      <c r="A493" s="226" t="s">
        <v>1434</v>
      </c>
      <c r="B493" s="226" t="s">
        <v>1433</v>
      </c>
      <c r="C493" s="226" t="s">
        <v>1432</v>
      </c>
      <c r="D493" s="226" t="s">
        <v>1431</v>
      </c>
      <c r="E493" s="226"/>
      <c r="F493" s="226" t="s">
        <v>1430</v>
      </c>
      <c r="G493" s="220" t="str">
        <f t="shared" si="44"/>
        <v>13/1/2004</v>
      </c>
      <c r="H493" s="242">
        <v>13</v>
      </c>
      <c r="I493" s="242">
        <v>1</v>
      </c>
      <c r="J493" s="225">
        <v>2004</v>
      </c>
      <c r="K493" s="226" t="s">
        <v>30</v>
      </c>
      <c r="L493" s="226">
        <v>1420</v>
      </c>
      <c r="M493" s="226" t="s">
        <v>869</v>
      </c>
      <c r="N493" s="230">
        <v>5000</v>
      </c>
      <c r="O493" s="230" t="s">
        <v>1429</v>
      </c>
      <c r="Q493" s="221">
        <v>10</v>
      </c>
      <c r="R493" s="112">
        <f t="shared" si="46"/>
        <v>41.658333333333331</v>
      </c>
      <c r="S493" s="223">
        <f t="shared" si="49"/>
        <v>4999</v>
      </c>
      <c r="T493" s="223">
        <f t="shared" si="48"/>
        <v>1</v>
      </c>
      <c r="U493" s="221">
        <v>2979</v>
      </c>
      <c r="V493" s="233"/>
      <c r="W493" s="223"/>
      <c r="X493" s="196">
        <f t="shared" si="45"/>
        <v>120</v>
      </c>
    </row>
    <row r="494" spans="1:24" s="221" customFormat="1">
      <c r="A494" s="226" t="s">
        <v>1428</v>
      </c>
      <c r="B494" s="226" t="s">
        <v>1427</v>
      </c>
      <c r="C494" s="226" t="s">
        <v>1426</v>
      </c>
      <c r="D494" s="226" t="s">
        <v>1422</v>
      </c>
      <c r="E494" s="226"/>
      <c r="F494" s="226" t="s">
        <v>1421</v>
      </c>
      <c r="G494" s="220" t="str">
        <f t="shared" si="44"/>
        <v>6/6/2003</v>
      </c>
      <c r="H494" s="242">
        <v>6</v>
      </c>
      <c r="I494" s="242">
        <v>6</v>
      </c>
      <c r="J494" s="225">
        <v>2003</v>
      </c>
      <c r="K494" s="226" t="s">
        <v>30</v>
      </c>
      <c r="L494" s="226">
        <v>6476</v>
      </c>
      <c r="M494" s="226" t="s">
        <v>869</v>
      </c>
      <c r="N494" s="230">
        <v>4605</v>
      </c>
      <c r="O494" s="230"/>
      <c r="Q494" s="221">
        <v>10</v>
      </c>
      <c r="R494" s="112">
        <f t="shared" si="46"/>
        <v>38.366666666666667</v>
      </c>
      <c r="S494" s="223">
        <f t="shared" si="49"/>
        <v>4604</v>
      </c>
      <c r="T494" s="223">
        <f t="shared" si="48"/>
        <v>1</v>
      </c>
      <c r="U494" s="221">
        <v>1559</v>
      </c>
      <c r="V494" s="233"/>
      <c r="W494" s="223"/>
      <c r="X494" s="196">
        <f t="shared" si="45"/>
        <v>120</v>
      </c>
    </row>
    <row r="495" spans="1:24" s="221" customFormat="1">
      <c r="A495" s="226" t="s">
        <v>1425</v>
      </c>
      <c r="B495" s="226" t="s">
        <v>1424</v>
      </c>
      <c r="C495" s="226" t="s">
        <v>1423</v>
      </c>
      <c r="D495" s="226" t="s">
        <v>1422</v>
      </c>
      <c r="E495" s="226"/>
      <c r="F495" s="226" t="s">
        <v>1421</v>
      </c>
      <c r="G495" s="220" t="str">
        <f t="shared" si="44"/>
        <v>19/5/2003</v>
      </c>
      <c r="H495" s="242">
        <v>19</v>
      </c>
      <c r="I495" s="242">
        <v>5</v>
      </c>
      <c r="J495" s="225">
        <v>2003</v>
      </c>
      <c r="K495" s="226" t="s">
        <v>30</v>
      </c>
      <c r="L495" s="226">
        <v>6476</v>
      </c>
      <c r="M495" s="226" t="s">
        <v>869</v>
      </c>
      <c r="N495" s="168">
        <v>4605</v>
      </c>
      <c r="O495" s="243" t="s">
        <v>1420</v>
      </c>
      <c r="Q495" s="221">
        <v>10</v>
      </c>
      <c r="R495" s="112">
        <f t="shared" si="46"/>
        <v>38.366666666666667</v>
      </c>
      <c r="S495" s="223">
        <f t="shared" si="49"/>
        <v>4604</v>
      </c>
      <c r="T495" s="223">
        <f t="shared" si="48"/>
        <v>1</v>
      </c>
      <c r="U495" s="221">
        <v>1559</v>
      </c>
      <c r="V495" s="233"/>
      <c r="W495" s="223"/>
      <c r="X495" s="196">
        <f t="shared" si="45"/>
        <v>120</v>
      </c>
    </row>
    <row r="496" spans="1:24" s="221" customFormat="1">
      <c r="A496" s="226" t="s">
        <v>1419</v>
      </c>
      <c r="B496" s="226" t="s">
        <v>1418</v>
      </c>
      <c r="C496" s="226" t="s">
        <v>187</v>
      </c>
      <c r="D496" s="226" t="s">
        <v>1417</v>
      </c>
      <c r="E496" s="226" t="s">
        <v>1416</v>
      </c>
      <c r="F496" s="226"/>
      <c r="G496" s="220" t="str">
        <f t="shared" si="44"/>
        <v>//</v>
      </c>
      <c r="H496" s="242"/>
      <c r="I496" s="242"/>
      <c r="J496" s="225"/>
      <c r="K496" s="226"/>
      <c r="L496" s="226"/>
      <c r="M496" s="226" t="s">
        <v>869</v>
      </c>
      <c r="N496" s="230">
        <v>1</v>
      </c>
      <c r="O496" s="230"/>
      <c r="Q496" s="221">
        <v>10</v>
      </c>
      <c r="R496" s="112">
        <f t="shared" si="46"/>
        <v>0</v>
      </c>
      <c r="S496" s="223">
        <v>0</v>
      </c>
      <c r="T496" s="223">
        <f t="shared" si="48"/>
        <v>1</v>
      </c>
      <c r="V496" s="233"/>
      <c r="W496" s="223"/>
      <c r="X496" s="196" t="e">
        <f t="shared" si="45"/>
        <v>#VALUE!</v>
      </c>
    </row>
    <row r="497" spans="1:24" s="221" customFormat="1">
      <c r="A497" s="221" t="s">
        <v>1415</v>
      </c>
      <c r="B497" s="195" t="s">
        <v>1414</v>
      </c>
      <c r="E497" s="226"/>
      <c r="F497" s="226" t="s">
        <v>1413</v>
      </c>
      <c r="G497" s="220" t="str">
        <f t="shared" si="44"/>
        <v>18/1/2008</v>
      </c>
      <c r="H497" s="221">
        <v>18</v>
      </c>
      <c r="I497" s="221">
        <v>1</v>
      </c>
      <c r="J497" s="221">
        <v>2008</v>
      </c>
      <c r="M497" s="221" t="s">
        <v>869</v>
      </c>
      <c r="N497" s="241">
        <v>37120</v>
      </c>
      <c r="O497" s="241" t="s">
        <v>301</v>
      </c>
      <c r="Q497" s="221">
        <v>10</v>
      </c>
      <c r="R497" s="112">
        <f t="shared" si="46"/>
        <v>309.32499999999999</v>
      </c>
      <c r="S497" s="223">
        <f t="shared" ref="S497:S560" si="50">X497*R497</f>
        <v>23199.375</v>
      </c>
      <c r="T497" s="223">
        <f t="shared" si="48"/>
        <v>13920.625</v>
      </c>
      <c r="U497" s="221">
        <v>10571</v>
      </c>
      <c r="V497" s="233"/>
      <c r="W497" s="223"/>
      <c r="X497" s="196">
        <f t="shared" si="45"/>
        <v>75</v>
      </c>
    </row>
    <row r="498" spans="1:24" s="221" customFormat="1">
      <c r="A498" s="221" t="s">
        <v>1412</v>
      </c>
      <c r="B498" s="195" t="s">
        <v>1411</v>
      </c>
      <c r="D498" s="221" t="s">
        <v>1410</v>
      </c>
      <c r="E498" s="226"/>
      <c r="F498" s="226" t="s">
        <v>908</v>
      </c>
      <c r="G498" s="220" t="str">
        <f t="shared" si="44"/>
        <v>26/3/2008</v>
      </c>
      <c r="H498" s="221">
        <v>26</v>
      </c>
      <c r="I498" s="221">
        <v>3</v>
      </c>
      <c r="J498" s="221">
        <v>2008</v>
      </c>
      <c r="K498" s="221" t="s">
        <v>1129</v>
      </c>
      <c r="L498" s="226"/>
      <c r="M498" s="221" t="s">
        <v>869</v>
      </c>
      <c r="N498" s="239">
        <v>4707.28</v>
      </c>
      <c r="O498" s="239"/>
      <c r="Q498" s="221">
        <v>10</v>
      </c>
      <c r="R498" s="112">
        <f t="shared" si="46"/>
        <v>39.219000000000001</v>
      </c>
      <c r="S498" s="223">
        <f t="shared" si="50"/>
        <v>2862.9870000000001</v>
      </c>
      <c r="T498" s="223">
        <f t="shared" si="48"/>
        <v>1844.2929999999997</v>
      </c>
      <c r="U498" s="221">
        <v>10793</v>
      </c>
      <c r="V498" s="233"/>
      <c r="W498" s="223"/>
      <c r="X498" s="196">
        <f t="shared" si="45"/>
        <v>73</v>
      </c>
    </row>
    <row r="499" spans="1:24" s="221" customFormat="1">
      <c r="A499" s="221" t="s">
        <v>1409</v>
      </c>
      <c r="B499" s="195" t="s">
        <v>1408</v>
      </c>
      <c r="D499" s="221" t="s">
        <v>1407</v>
      </c>
      <c r="E499" s="226"/>
      <c r="F499" s="226" t="s">
        <v>908</v>
      </c>
      <c r="G499" s="220" t="str">
        <f t="shared" si="44"/>
        <v>26/3/2008</v>
      </c>
      <c r="H499" s="221">
        <v>26</v>
      </c>
      <c r="I499" s="221">
        <v>3</v>
      </c>
      <c r="J499" s="221">
        <v>2008</v>
      </c>
      <c r="K499" s="221" t="s">
        <v>1129</v>
      </c>
      <c r="L499" s="226"/>
      <c r="M499" s="221" t="s">
        <v>869</v>
      </c>
      <c r="N499" s="239">
        <v>4019.4</v>
      </c>
      <c r="O499" s="239"/>
      <c r="Q499" s="221">
        <v>10</v>
      </c>
      <c r="R499" s="112">
        <f t="shared" si="46"/>
        <v>33.486666666666672</v>
      </c>
      <c r="S499" s="223">
        <f t="shared" si="50"/>
        <v>2444.5266666666671</v>
      </c>
      <c r="T499" s="223">
        <f t="shared" si="48"/>
        <v>1574.873333333333</v>
      </c>
      <c r="U499" s="221">
        <v>10793</v>
      </c>
      <c r="V499" s="233"/>
      <c r="W499" s="223"/>
      <c r="X499" s="196">
        <f t="shared" si="45"/>
        <v>73</v>
      </c>
    </row>
    <row r="500" spans="1:24" s="221" customFormat="1" ht="31.5">
      <c r="A500" s="221" t="s">
        <v>1406</v>
      </c>
      <c r="B500" s="195" t="s">
        <v>1404</v>
      </c>
      <c r="D500" s="221" t="s">
        <v>1403</v>
      </c>
      <c r="E500" s="226"/>
      <c r="F500" s="226" t="s">
        <v>908</v>
      </c>
      <c r="G500" s="220" t="str">
        <f t="shared" si="44"/>
        <v>26/3/2008</v>
      </c>
      <c r="H500" s="221">
        <v>26</v>
      </c>
      <c r="I500" s="221">
        <v>3</v>
      </c>
      <c r="J500" s="221">
        <v>2008</v>
      </c>
      <c r="K500" s="221" t="s">
        <v>1129</v>
      </c>
      <c r="L500" s="226"/>
      <c r="M500" s="221" t="s">
        <v>869</v>
      </c>
      <c r="N500" s="239">
        <v>1147.24</v>
      </c>
      <c r="O500" s="239"/>
      <c r="Q500" s="221">
        <v>10</v>
      </c>
      <c r="R500" s="112">
        <f t="shared" si="46"/>
        <v>9.5519999999999996</v>
      </c>
      <c r="S500" s="223">
        <f t="shared" si="50"/>
        <v>697.29599999999994</v>
      </c>
      <c r="T500" s="223">
        <f t="shared" si="48"/>
        <v>449.94400000000007</v>
      </c>
      <c r="U500" s="221">
        <v>10793</v>
      </c>
      <c r="V500" s="233"/>
      <c r="W500" s="223"/>
      <c r="X500" s="196">
        <f t="shared" si="45"/>
        <v>73</v>
      </c>
    </row>
    <row r="501" spans="1:24" s="221" customFormat="1" ht="31.5">
      <c r="A501" s="221" t="s">
        <v>1405</v>
      </c>
      <c r="B501" s="195" t="s">
        <v>1404</v>
      </c>
      <c r="D501" s="221" t="s">
        <v>1403</v>
      </c>
      <c r="E501" s="226"/>
      <c r="F501" s="226" t="s">
        <v>908</v>
      </c>
      <c r="G501" s="220" t="str">
        <f t="shared" si="44"/>
        <v>26/3/2008</v>
      </c>
      <c r="H501" s="221">
        <v>26</v>
      </c>
      <c r="I501" s="221">
        <v>3</v>
      </c>
      <c r="J501" s="221">
        <v>2008</v>
      </c>
      <c r="K501" s="221" t="s">
        <v>1129</v>
      </c>
      <c r="L501" s="226"/>
      <c r="M501" s="221" t="s">
        <v>869</v>
      </c>
      <c r="N501" s="239">
        <v>1147.24</v>
      </c>
      <c r="O501" s="239"/>
      <c r="Q501" s="221">
        <v>10</v>
      </c>
      <c r="R501" s="112">
        <f t="shared" si="46"/>
        <v>9.5519999999999996</v>
      </c>
      <c r="S501" s="223">
        <f t="shared" si="50"/>
        <v>697.29599999999994</v>
      </c>
      <c r="T501" s="223">
        <f t="shared" si="48"/>
        <v>449.94400000000007</v>
      </c>
      <c r="U501" s="221">
        <v>10793</v>
      </c>
      <c r="V501" s="233"/>
      <c r="W501" s="223"/>
      <c r="X501" s="196">
        <f t="shared" si="45"/>
        <v>73</v>
      </c>
    </row>
    <row r="502" spans="1:24" s="221" customFormat="1" ht="31.5">
      <c r="A502" s="221" t="s">
        <v>1402</v>
      </c>
      <c r="B502" s="195" t="s">
        <v>1400</v>
      </c>
      <c r="D502" s="226">
        <v>1000</v>
      </c>
      <c r="E502" s="226"/>
      <c r="F502" s="226" t="s">
        <v>908</v>
      </c>
      <c r="G502" s="220" t="str">
        <f t="shared" si="44"/>
        <v>26/3/2008</v>
      </c>
      <c r="H502" s="221">
        <v>26</v>
      </c>
      <c r="I502" s="221">
        <v>3</v>
      </c>
      <c r="J502" s="221">
        <v>2008</v>
      </c>
      <c r="K502" s="221" t="s">
        <v>1129</v>
      </c>
      <c r="L502" s="226"/>
      <c r="M502" s="221" t="s">
        <v>869</v>
      </c>
      <c r="N502" s="239">
        <v>5491.44</v>
      </c>
      <c r="O502" s="239"/>
      <c r="Q502" s="221">
        <v>10</v>
      </c>
      <c r="R502" s="112">
        <f t="shared" si="46"/>
        <v>45.753666666666668</v>
      </c>
      <c r="S502" s="223">
        <f t="shared" si="50"/>
        <v>3340.0176666666666</v>
      </c>
      <c r="T502" s="223">
        <f t="shared" si="48"/>
        <v>2151.422333333333</v>
      </c>
      <c r="U502" s="221">
        <v>10793</v>
      </c>
      <c r="V502" s="233"/>
      <c r="W502" s="223"/>
      <c r="X502" s="196">
        <f t="shared" si="45"/>
        <v>73</v>
      </c>
    </row>
    <row r="503" spans="1:24" s="221" customFormat="1" ht="31.5">
      <c r="A503" s="221" t="s">
        <v>1401</v>
      </c>
      <c r="B503" s="195" t="s">
        <v>1400</v>
      </c>
      <c r="D503" s="226">
        <v>1000</v>
      </c>
      <c r="E503" s="226"/>
      <c r="F503" s="226" t="s">
        <v>908</v>
      </c>
      <c r="G503" s="220" t="str">
        <f t="shared" si="44"/>
        <v>26/3/2008</v>
      </c>
      <c r="H503" s="221">
        <v>26</v>
      </c>
      <c r="I503" s="221">
        <v>3</v>
      </c>
      <c r="J503" s="221">
        <v>2008</v>
      </c>
      <c r="K503" s="221" t="s">
        <v>1129</v>
      </c>
      <c r="L503" s="226"/>
      <c r="M503" s="221" t="s">
        <v>869</v>
      </c>
      <c r="N503" s="239">
        <v>5491.44</v>
      </c>
      <c r="O503" s="239"/>
      <c r="Q503" s="221">
        <v>10</v>
      </c>
      <c r="R503" s="112">
        <f t="shared" si="46"/>
        <v>45.753666666666668</v>
      </c>
      <c r="S503" s="223">
        <f t="shared" si="50"/>
        <v>3340.0176666666666</v>
      </c>
      <c r="T503" s="223">
        <f t="shared" si="48"/>
        <v>2151.422333333333</v>
      </c>
      <c r="U503" s="221">
        <v>10793</v>
      </c>
      <c r="V503" s="233"/>
      <c r="W503" s="223"/>
      <c r="X503" s="196">
        <f t="shared" si="45"/>
        <v>73</v>
      </c>
    </row>
    <row r="504" spans="1:24" s="221" customFormat="1" ht="31.5">
      <c r="A504" s="221" t="s">
        <v>1399</v>
      </c>
      <c r="B504" s="195" t="s">
        <v>1398</v>
      </c>
      <c r="D504" s="221" t="s">
        <v>1393</v>
      </c>
      <c r="E504" s="226"/>
      <c r="F504" s="226" t="s">
        <v>908</v>
      </c>
      <c r="G504" s="220" t="str">
        <f t="shared" si="44"/>
        <v>26/3/2008</v>
      </c>
      <c r="H504" s="221">
        <v>26</v>
      </c>
      <c r="I504" s="221">
        <v>3</v>
      </c>
      <c r="J504" s="221">
        <v>2008</v>
      </c>
      <c r="K504" s="221" t="s">
        <v>1129</v>
      </c>
      <c r="L504" s="226"/>
      <c r="M504" s="221" t="s">
        <v>869</v>
      </c>
      <c r="N504" s="239">
        <v>6074.92</v>
      </c>
      <c r="O504" s="239"/>
      <c r="Q504" s="221">
        <v>10</v>
      </c>
      <c r="R504" s="112">
        <f t="shared" si="46"/>
        <v>50.616000000000007</v>
      </c>
      <c r="S504" s="223">
        <f t="shared" si="50"/>
        <v>3694.9680000000003</v>
      </c>
      <c r="T504" s="223">
        <f t="shared" si="48"/>
        <v>2379.9519999999998</v>
      </c>
      <c r="U504" s="221">
        <v>10793</v>
      </c>
      <c r="V504" s="233"/>
      <c r="W504" s="223"/>
      <c r="X504" s="196">
        <f t="shared" si="45"/>
        <v>73</v>
      </c>
    </row>
    <row r="505" spans="1:24" s="221" customFormat="1" ht="31.5">
      <c r="A505" s="221" t="s">
        <v>1397</v>
      </c>
      <c r="B505" s="195" t="s">
        <v>1396</v>
      </c>
      <c r="D505" s="221" t="s">
        <v>1393</v>
      </c>
      <c r="E505" s="226"/>
      <c r="F505" s="226" t="s">
        <v>908</v>
      </c>
      <c r="G505" s="220" t="str">
        <f t="shared" si="44"/>
        <v>26/3/2008</v>
      </c>
      <c r="H505" s="221">
        <v>26</v>
      </c>
      <c r="I505" s="221">
        <v>3</v>
      </c>
      <c r="J505" s="221">
        <v>2008</v>
      </c>
      <c r="K505" s="221" t="s">
        <v>1129</v>
      </c>
      <c r="L505" s="226"/>
      <c r="M505" s="221" t="s">
        <v>869</v>
      </c>
      <c r="N505" s="239">
        <v>6074.92</v>
      </c>
      <c r="O505" s="239"/>
      <c r="Q505" s="221">
        <v>10</v>
      </c>
      <c r="R505" s="112">
        <f t="shared" si="46"/>
        <v>50.616000000000007</v>
      </c>
      <c r="S505" s="223">
        <f t="shared" si="50"/>
        <v>3694.9680000000003</v>
      </c>
      <c r="T505" s="223">
        <f t="shared" si="48"/>
        <v>2379.9519999999998</v>
      </c>
      <c r="U505" s="221">
        <v>10793</v>
      </c>
      <c r="V505" s="233"/>
      <c r="W505" s="223"/>
      <c r="X505" s="196">
        <f t="shared" si="45"/>
        <v>73</v>
      </c>
    </row>
    <row r="506" spans="1:24" s="221" customFormat="1" ht="31.5">
      <c r="A506" s="221" t="s">
        <v>1395</v>
      </c>
      <c r="B506" s="195" t="s">
        <v>1394</v>
      </c>
      <c r="D506" s="221" t="s">
        <v>1393</v>
      </c>
      <c r="E506" s="226"/>
      <c r="F506" s="226" t="s">
        <v>908</v>
      </c>
      <c r="G506" s="220" t="str">
        <f t="shared" si="44"/>
        <v>26/3/2008</v>
      </c>
      <c r="H506" s="221">
        <v>26</v>
      </c>
      <c r="I506" s="221">
        <v>3</v>
      </c>
      <c r="J506" s="221">
        <v>2008</v>
      </c>
      <c r="K506" s="221" t="s">
        <v>1129</v>
      </c>
      <c r="L506" s="226"/>
      <c r="M506" s="221" t="s">
        <v>869</v>
      </c>
      <c r="N506" s="239">
        <v>6074.92</v>
      </c>
      <c r="O506" s="239"/>
      <c r="Q506" s="221">
        <v>10</v>
      </c>
      <c r="R506" s="112">
        <f t="shared" si="46"/>
        <v>50.616000000000007</v>
      </c>
      <c r="S506" s="223">
        <f t="shared" si="50"/>
        <v>3694.9680000000003</v>
      </c>
      <c r="T506" s="223">
        <f t="shared" si="48"/>
        <v>2379.9519999999998</v>
      </c>
      <c r="U506" s="221">
        <v>10793</v>
      </c>
      <c r="V506" s="233"/>
      <c r="W506" s="223"/>
      <c r="X506" s="196">
        <f t="shared" si="45"/>
        <v>73</v>
      </c>
    </row>
    <row r="507" spans="1:24" s="221" customFormat="1">
      <c r="A507" s="221" t="s">
        <v>1392</v>
      </c>
      <c r="B507" s="195" t="s">
        <v>1388</v>
      </c>
      <c r="E507" s="226"/>
      <c r="F507" s="226" t="s">
        <v>908</v>
      </c>
      <c r="G507" s="220" t="str">
        <f t="shared" si="44"/>
        <v>26/3/2008</v>
      </c>
      <c r="H507" s="221">
        <v>26</v>
      </c>
      <c r="I507" s="221">
        <v>3</v>
      </c>
      <c r="J507" s="221">
        <v>2008</v>
      </c>
      <c r="K507" s="221" t="s">
        <v>1129</v>
      </c>
      <c r="L507" s="226"/>
      <c r="M507" s="221" t="s">
        <v>869</v>
      </c>
      <c r="N507" s="239">
        <v>600.88</v>
      </c>
      <c r="O507" s="239"/>
      <c r="Q507" s="221">
        <v>10</v>
      </c>
      <c r="R507" s="112">
        <f t="shared" si="46"/>
        <v>4.9989999999999997</v>
      </c>
      <c r="S507" s="223">
        <f t="shared" si="50"/>
        <v>364.92699999999996</v>
      </c>
      <c r="T507" s="223">
        <f t="shared" si="48"/>
        <v>235.95300000000003</v>
      </c>
      <c r="U507" s="221">
        <v>10793</v>
      </c>
      <c r="V507" s="233"/>
      <c r="W507" s="223"/>
      <c r="X507" s="196">
        <f t="shared" si="45"/>
        <v>73</v>
      </c>
    </row>
    <row r="508" spans="1:24" s="221" customFormat="1">
      <c r="A508" s="221" t="s">
        <v>1391</v>
      </c>
      <c r="B508" s="195" t="s">
        <v>1388</v>
      </c>
      <c r="E508" s="226"/>
      <c r="F508" s="226" t="s">
        <v>908</v>
      </c>
      <c r="G508" s="220" t="str">
        <f t="shared" si="44"/>
        <v>26/3/2008</v>
      </c>
      <c r="H508" s="221">
        <v>26</v>
      </c>
      <c r="I508" s="221">
        <v>3</v>
      </c>
      <c r="J508" s="221">
        <v>2008</v>
      </c>
      <c r="K508" s="221" t="s">
        <v>1129</v>
      </c>
      <c r="L508" s="226"/>
      <c r="M508" s="221" t="s">
        <v>869</v>
      </c>
      <c r="N508" s="239">
        <v>600.88</v>
      </c>
      <c r="O508" s="239" t="s">
        <v>593</v>
      </c>
      <c r="Q508" s="221">
        <v>10</v>
      </c>
      <c r="R508" s="112">
        <f t="shared" si="46"/>
        <v>4.9989999999999997</v>
      </c>
      <c r="S508" s="223">
        <f t="shared" si="50"/>
        <v>364.92699999999996</v>
      </c>
      <c r="T508" s="223">
        <f t="shared" si="48"/>
        <v>235.95300000000003</v>
      </c>
      <c r="U508" s="221">
        <v>10793</v>
      </c>
      <c r="V508" s="233"/>
      <c r="W508" s="223"/>
      <c r="X508" s="196">
        <f t="shared" si="45"/>
        <v>73</v>
      </c>
    </row>
    <row r="509" spans="1:24" s="221" customFormat="1">
      <c r="A509" s="221" t="s">
        <v>1390</v>
      </c>
      <c r="B509" s="195" t="s">
        <v>1388</v>
      </c>
      <c r="E509" s="226"/>
      <c r="F509" s="226" t="s">
        <v>908</v>
      </c>
      <c r="G509" s="220" t="str">
        <f t="shared" si="44"/>
        <v>26/3/2008</v>
      </c>
      <c r="H509" s="221">
        <v>26</v>
      </c>
      <c r="I509" s="221">
        <v>3</v>
      </c>
      <c r="J509" s="221">
        <v>2008</v>
      </c>
      <c r="K509" s="221" t="s">
        <v>1129</v>
      </c>
      <c r="L509" s="226"/>
      <c r="M509" s="221" t="s">
        <v>869</v>
      </c>
      <c r="N509" s="239">
        <v>600.88</v>
      </c>
      <c r="O509" s="239"/>
      <c r="Q509" s="221">
        <v>10</v>
      </c>
      <c r="R509" s="112">
        <f t="shared" si="46"/>
        <v>4.9989999999999997</v>
      </c>
      <c r="S509" s="223">
        <f t="shared" si="50"/>
        <v>364.92699999999996</v>
      </c>
      <c r="T509" s="223">
        <f t="shared" si="48"/>
        <v>235.95300000000003</v>
      </c>
      <c r="U509" s="221">
        <v>10793</v>
      </c>
      <c r="V509" s="233"/>
      <c r="W509" s="223"/>
      <c r="X509" s="196">
        <f t="shared" si="45"/>
        <v>73</v>
      </c>
    </row>
    <row r="510" spans="1:24" s="221" customFormat="1">
      <c r="A510" s="221" t="s">
        <v>1389</v>
      </c>
      <c r="B510" s="195" t="s">
        <v>1388</v>
      </c>
      <c r="E510" s="226"/>
      <c r="F510" s="226" t="s">
        <v>908</v>
      </c>
      <c r="G510" s="220" t="str">
        <f t="shared" si="44"/>
        <v>26/3/2008</v>
      </c>
      <c r="H510" s="221">
        <v>26</v>
      </c>
      <c r="I510" s="221">
        <v>3</v>
      </c>
      <c r="J510" s="221">
        <v>2008</v>
      </c>
      <c r="K510" s="221" t="s">
        <v>1129</v>
      </c>
      <c r="L510" s="226"/>
      <c r="M510" s="221" t="s">
        <v>869</v>
      </c>
      <c r="N510" s="239">
        <v>600.88</v>
      </c>
      <c r="O510" s="239"/>
      <c r="Q510" s="221">
        <v>10</v>
      </c>
      <c r="R510" s="112">
        <f t="shared" si="46"/>
        <v>4.9989999999999997</v>
      </c>
      <c r="S510" s="223">
        <f t="shared" si="50"/>
        <v>364.92699999999996</v>
      </c>
      <c r="T510" s="223">
        <f t="shared" si="48"/>
        <v>235.95300000000003</v>
      </c>
      <c r="U510" s="221">
        <v>10793</v>
      </c>
      <c r="V510" s="233"/>
      <c r="W510" s="223"/>
      <c r="X510" s="196">
        <f t="shared" si="45"/>
        <v>73</v>
      </c>
    </row>
    <row r="511" spans="1:24" s="497" customFormat="1">
      <c r="A511" s="497" t="s">
        <v>1387</v>
      </c>
      <c r="B511" s="498" t="s">
        <v>1382</v>
      </c>
      <c r="E511" s="499"/>
      <c r="F511" s="499" t="s">
        <v>908</v>
      </c>
      <c r="G511" s="500" t="str">
        <f t="shared" si="44"/>
        <v>26/3/2008</v>
      </c>
      <c r="H511" s="497">
        <v>26</v>
      </c>
      <c r="I511" s="497">
        <v>3</v>
      </c>
      <c r="J511" s="497">
        <v>2008</v>
      </c>
      <c r="K511" s="497" t="s">
        <v>1129</v>
      </c>
      <c r="L511" s="499"/>
      <c r="M511" s="497" t="s">
        <v>869</v>
      </c>
      <c r="N511" s="501">
        <v>1577.6</v>
      </c>
      <c r="O511" s="501" t="s">
        <v>593</v>
      </c>
      <c r="Q511" s="497">
        <v>10</v>
      </c>
      <c r="R511" s="502">
        <f t="shared" si="46"/>
        <v>13.138333333333334</v>
      </c>
      <c r="S511" s="503">
        <f t="shared" si="50"/>
        <v>959.09833333333336</v>
      </c>
      <c r="T511" s="503">
        <f t="shared" si="48"/>
        <v>618.50166666666655</v>
      </c>
      <c r="U511" s="497">
        <v>10793</v>
      </c>
      <c r="V511" s="504"/>
      <c r="W511" s="503"/>
      <c r="X511" s="505">
        <f t="shared" si="45"/>
        <v>73</v>
      </c>
    </row>
    <row r="512" spans="1:24" s="497" customFormat="1">
      <c r="A512" s="497" t="s">
        <v>1386</v>
      </c>
      <c r="B512" s="498" t="s">
        <v>1382</v>
      </c>
      <c r="E512" s="499"/>
      <c r="F512" s="499" t="s">
        <v>908</v>
      </c>
      <c r="G512" s="500" t="str">
        <f t="shared" si="44"/>
        <v>26/3/2008</v>
      </c>
      <c r="H512" s="497">
        <v>26</v>
      </c>
      <c r="I512" s="497">
        <v>3</v>
      </c>
      <c r="J512" s="497">
        <v>2008</v>
      </c>
      <c r="K512" s="497" t="s">
        <v>1129</v>
      </c>
      <c r="L512" s="499"/>
      <c r="M512" s="497" t="s">
        <v>869</v>
      </c>
      <c r="N512" s="501">
        <v>1577.6</v>
      </c>
      <c r="O512" s="501" t="s">
        <v>593</v>
      </c>
      <c r="Q512" s="497">
        <v>10</v>
      </c>
      <c r="R512" s="502">
        <f t="shared" si="46"/>
        <v>13.138333333333334</v>
      </c>
      <c r="S512" s="503">
        <f t="shared" si="50"/>
        <v>959.09833333333336</v>
      </c>
      <c r="T512" s="503">
        <f t="shared" si="48"/>
        <v>618.50166666666655</v>
      </c>
      <c r="U512" s="497">
        <v>10793</v>
      </c>
      <c r="V512" s="504"/>
      <c r="W512" s="503"/>
      <c r="X512" s="505">
        <f t="shared" si="45"/>
        <v>73</v>
      </c>
    </row>
    <row r="513" spans="1:24" s="497" customFormat="1">
      <c r="A513" s="497" t="s">
        <v>1385</v>
      </c>
      <c r="B513" s="498" t="s">
        <v>1382</v>
      </c>
      <c r="E513" s="499"/>
      <c r="F513" s="499" t="s">
        <v>908</v>
      </c>
      <c r="G513" s="500" t="str">
        <f t="shared" si="44"/>
        <v>26/3/2008</v>
      </c>
      <c r="H513" s="497">
        <v>26</v>
      </c>
      <c r="I513" s="497">
        <v>3</v>
      </c>
      <c r="J513" s="497">
        <v>2008</v>
      </c>
      <c r="K513" s="497" t="s">
        <v>1129</v>
      </c>
      <c r="L513" s="499"/>
      <c r="M513" s="497" t="s">
        <v>869</v>
      </c>
      <c r="N513" s="501">
        <v>1577.6</v>
      </c>
      <c r="O513" s="501" t="s">
        <v>1381</v>
      </c>
      <c r="Q513" s="497">
        <v>10</v>
      </c>
      <c r="R513" s="502">
        <f t="shared" si="46"/>
        <v>13.138333333333334</v>
      </c>
      <c r="S513" s="503">
        <f t="shared" si="50"/>
        <v>959.09833333333336</v>
      </c>
      <c r="T513" s="503">
        <f t="shared" si="48"/>
        <v>618.50166666666655</v>
      </c>
      <c r="U513" s="497">
        <v>10793</v>
      </c>
      <c r="V513" s="504"/>
      <c r="W513" s="503"/>
      <c r="X513" s="505">
        <f t="shared" si="45"/>
        <v>73</v>
      </c>
    </row>
    <row r="514" spans="1:24" s="497" customFormat="1">
      <c r="A514" s="497" t="s">
        <v>1384</v>
      </c>
      <c r="B514" s="498" t="s">
        <v>1382</v>
      </c>
      <c r="E514" s="499"/>
      <c r="F514" s="499" t="s">
        <v>908</v>
      </c>
      <c r="G514" s="500" t="str">
        <f t="shared" si="44"/>
        <v>26/3/2008</v>
      </c>
      <c r="H514" s="497">
        <v>26</v>
      </c>
      <c r="I514" s="497">
        <v>3</v>
      </c>
      <c r="J514" s="497">
        <v>2008</v>
      </c>
      <c r="K514" s="497" t="s">
        <v>1129</v>
      </c>
      <c r="L514" s="499"/>
      <c r="M514" s="497" t="s">
        <v>869</v>
      </c>
      <c r="N514" s="501">
        <v>1577.6</v>
      </c>
      <c r="O514" s="501" t="s">
        <v>1381</v>
      </c>
      <c r="Q514" s="497">
        <v>10</v>
      </c>
      <c r="R514" s="502">
        <f t="shared" si="46"/>
        <v>13.138333333333334</v>
      </c>
      <c r="S514" s="503">
        <f t="shared" si="50"/>
        <v>959.09833333333336</v>
      </c>
      <c r="T514" s="503">
        <f t="shared" si="48"/>
        <v>618.50166666666655</v>
      </c>
      <c r="U514" s="497">
        <v>10793</v>
      </c>
      <c r="V514" s="504"/>
      <c r="W514" s="503"/>
      <c r="X514" s="505">
        <f t="shared" si="45"/>
        <v>73</v>
      </c>
    </row>
    <row r="515" spans="1:24" s="497" customFormat="1">
      <c r="A515" s="497" t="s">
        <v>1383</v>
      </c>
      <c r="B515" s="498" t="s">
        <v>1382</v>
      </c>
      <c r="E515" s="499"/>
      <c r="F515" s="499" t="s">
        <v>908</v>
      </c>
      <c r="G515" s="500" t="str">
        <f t="shared" si="44"/>
        <v>26/2/2008</v>
      </c>
      <c r="H515" s="497">
        <v>26</v>
      </c>
      <c r="I515" s="497">
        <v>2</v>
      </c>
      <c r="J515" s="497">
        <v>2008</v>
      </c>
      <c r="K515" s="497" t="s">
        <v>1129</v>
      </c>
      <c r="L515" s="499"/>
      <c r="M515" s="497" t="s">
        <v>869</v>
      </c>
      <c r="N515" s="501">
        <v>1577.6</v>
      </c>
      <c r="O515" s="501" t="s">
        <v>1381</v>
      </c>
      <c r="Q515" s="497">
        <v>10</v>
      </c>
      <c r="R515" s="502">
        <f t="shared" si="46"/>
        <v>13.138333333333334</v>
      </c>
      <c r="S515" s="503">
        <f t="shared" si="50"/>
        <v>972.23666666666668</v>
      </c>
      <c r="T515" s="503">
        <f t="shared" si="48"/>
        <v>605.36333333333323</v>
      </c>
      <c r="U515" s="497">
        <v>10793</v>
      </c>
      <c r="V515" s="504"/>
      <c r="W515" s="503"/>
      <c r="X515" s="505">
        <f t="shared" si="45"/>
        <v>74</v>
      </c>
    </row>
    <row r="516" spans="1:24" s="221" customFormat="1">
      <c r="A516" s="221" t="s">
        <v>1380</v>
      </c>
      <c r="B516" s="195" t="s">
        <v>1375</v>
      </c>
      <c r="D516" s="221" t="s">
        <v>1374</v>
      </c>
      <c r="E516" s="226"/>
      <c r="F516" s="226" t="s">
        <v>908</v>
      </c>
      <c r="G516" s="220" t="str">
        <f t="shared" si="44"/>
        <v>26/3/2008</v>
      </c>
      <c r="H516" s="221">
        <v>26</v>
      </c>
      <c r="I516" s="221">
        <v>3</v>
      </c>
      <c r="J516" s="221">
        <v>2008</v>
      </c>
      <c r="K516" s="221" t="s">
        <v>1129</v>
      </c>
      <c r="L516" s="226"/>
      <c r="M516" s="221" t="s">
        <v>869</v>
      </c>
      <c r="N516" s="239">
        <v>2975.4</v>
      </c>
      <c r="O516" s="239"/>
      <c r="Q516" s="221">
        <v>10</v>
      </c>
      <c r="R516" s="112">
        <f t="shared" si="46"/>
        <v>24.786666666666665</v>
      </c>
      <c r="S516" s="223">
        <f t="shared" si="50"/>
        <v>1809.4266666666665</v>
      </c>
      <c r="T516" s="223">
        <f t="shared" si="48"/>
        <v>1165.9733333333336</v>
      </c>
      <c r="U516" s="221">
        <v>10793</v>
      </c>
      <c r="V516" s="233"/>
      <c r="W516" s="223"/>
      <c r="X516" s="196">
        <f t="shared" si="45"/>
        <v>73</v>
      </c>
    </row>
    <row r="517" spans="1:24" s="221" customFormat="1">
      <c r="A517" s="221" t="s">
        <v>1379</v>
      </c>
      <c r="B517" s="195" t="s">
        <v>1375</v>
      </c>
      <c r="D517" s="221" t="s">
        <v>1374</v>
      </c>
      <c r="E517" s="226"/>
      <c r="F517" s="226" t="s">
        <v>908</v>
      </c>
      <c r="G517" s="220" t="str">
        <f t="shared" si="44"/>
        <v>26/3/2008</v>
      </c>
      <c r="H517" s="221">
        <v>26</v>
      </c>
      <c r="I517" s="221">
        <v>3</v>
      </c>
      <c r="J517" s="221">
        <v>2008</v>
      </c>
      <c r="K517" s="221" t="s">
        <v>1129</v>
      </c>
      <c r="L517" s="226"/>
      <c r="M517" s="221" t="s">
        <v>869</v>
      </c>
      <c r="N517" s="239">
        <v>2975.4</v>
      </c>
      <c r="O517" s="239"/>
      <c r="Q517" s="221">
        <v>10</v>
      </c>
      <c r="R517" s="112">
        <f t="shared" si="46"/>
        <v>24.786666666666665</v>
      </c>
      <c r="S517" s="223">
        <f t="shared" si="50"/>
        <v>1809.4266666666665</v>
      </c>
      <c r="T517" s="223">
        <f t="shared" si="48"/>
        <v>1165.9733333333336</v>
      </c>
      <c r="U517" s="221">
        <v>10793</v>
      </c>
      <c r="V517" s="233"/>
      <c r="W517" s="223"/>
      <c r="X517" s="196">
        <f t="shared" si="45"/>
        <v>73</v>
      </c>
    </row>
    <row r="518" spans="1:24" s="221" customFormat="1">
      <c r="A518" s="221" t="s">
        <v>1378</v>
      </c>
      <c r="B518" s="195" t="s">
        <v>1375</v>
      </c>
      <c r="D518" s="221" t="s">
        <v>1374</v>
      </c>
      <c r="E518" s="226"/>
      <c r="F518" s="226" t="s">
        <v>908</v>
      </c>
      <c r="G518" s="220" t="str">
        <f t="shared" si="44"/>
        <v>26/3/2008</v>
      </c>
      <c r="H518" s="221">
        <v>26</v>
      </c>
      <c r="I518" s="221">
        <v>3</v>
      </c>
      <c r="J518" s="221">
        <v>2008</v>
      </c>
      <c r="K518" s="221" t="s">
        <v>1129</v>
      </c>
      <c r="L518" s="226"/>
      <c r="M518" s="221" t="s">
        <v>869</v>
      </c>
      <c r="N518" s="239">
        <v>2975.4</v>
      </c>
      <c r="O518" s="239"/>
      <c r="Q518" s="221">
        <v>10</v>
      </c>
      <c r="R518" s="112">
        <f t="shared" si="46"/>
        <v>24.786666666666665</v>
      </c>
      <c r="S518" s="223">
        <f t="shared" si="50"/>
        <v>1809.4266666666665</v>
      </c>
      <c r="T518" s="223">
        <f t="shared" si="48"/>
        <v>1165.9733333333336</v>
      </c>
      <c r="U518" s="221">
        <v>10793</v>
      </c>
      <c r="V518" s="233"/>
      <c r="W518" s="223"/>
      <c r="X518" s="196">
        <f t="shared" si="45"/>
        <v>73</v>
      </c>
    </row>
    <row r="519" spans="1:24" s="221" customFormat="1">
      <c r="A519" s="221" t="s">
        <v>1377</v>
      </c>
      <c r="B519" s="195" t="s">
        <v>1375</v>
      </c>
      <c r="D519" s="221" t="s">
        <v>1374</v>
      </c>
      <c r="E519" s="226"/>
      <c r="F519" s="226" t="s">
        <v>908</v>
      </c>
      <c r="G519" s="220" t="str">
        <f t="shared" ref="G519:G582" si="51">CONCATENATE(H519,"/",I519,"/",J519,)</f>
        <v>26/3/2008</v>
      </c>
      <c r="H519" s="221">
        <v>26</v>
      </c>
      <c r="I519" s="221">
        <v>3</v>
      </c>
      <c r="J519" s="221">
        <v>2008</v>
      </c>
      <c r="K519" s="221" t="s">
        <v>1129</v>
      </c>
      <c r="L519" s="226"/>
      <c r="M519" s="221" t="s">
        <v>869</v>
      </c>
      <c r="N519" s="239">
        <v>2975.4</v>
      </c>
      <c r="O519" s="239"/>
      <c r="Q519" s="221">
        <v>10</v>
      </c>
      <c r="R519" s="112">
        <f t="shared" si="46"/>
        <v>24.786666666666665</v>
      </c>
      <c r="S519" s="223">
        <f t="shared" si="50"/>
        <v>1809.4266666666665</v>
      </c>
      <c r="T519" s="223">
        <f t="shared" si="48"/>
        <v>1165.9733333333336</v>
      </c>
      <c r="U519" s="221">
        <v>10793</v>
      </c>
      <c r="V519" s="233"/>
      <c r="W519" s="223"/>
      <c r="X519" s="196">
        <f t="shared" ref="X519:X582" si="52">IF((DATEDIF(G519,X$4,"m"))&gt;=120,120,(DATEDIF(G519,X$4,"m")))</f>
        <v>73</v>
      </c>
    </row>
    <row r="520" spans="1:24" s="221" customFormat="1">
      <c r="A520" s="221" t="s">
        <v>1376</v>
      </c>
      <c r="B520" s="195" t="s">
        <v>1375</v>
      </c>
      <c r="D520" s="221" t="s">
        <v>1374</v>
      </c>
      <c r="E520" s="226"/>
      <c r="F520" s="226" t="s">
        <v>908</v>
      </c>
      <c r="G520" s="220" t="str">
        <f t="shared" si="51"/>
        <v>26/3/2008</v>
      </c>
      <c r="H520" s="221">
        <v>26</v>
      </c>
      <c r="I520" s="221">
        <v>3</v>
      </c>
      <c r="J520" s="221">
        <v>2008</v>
      </c>
      <c r="K520" s="221" t="s">
        <v>1129</v>
      </c>
      <c r="L520" s="226"/>
      <c r="M520" s="221" t="s">
        <v>869</v>
      </c>
      <c r="N520" s="239">
        <v>2975.4</v>
      </c>
      <c r="O520" s="239"/>
      <c r="Q520" s="221">
        <v>10</v>
      </c>
      <c r="R520" s="112">
        <f t="shared" si="46"/>
        <v>24.786666666666665</v>
      </c>
      <c r="S520" s="223">
        <f t="shared" si="50"/>
        <v>1809.4266666666665</v>
      </c>
      <c r="T520" s="223">
        <f t="shared" si="48"/>
        <v>1165.9733333333336</v>
      </c>
      <c r="U520" s="221">
        <v>10793</v>
      </c>
      <c r="V520" s="233"/>
      <c r="W520" s="223"/>
      <c r="X520" s="196">
        <f t="shared" si="52"/>
        <v>73</v>
      </c>
    </row>
    <row r="521" spans="1:24" s="221" customFormat="1">
      <c r="A521" s="221" t="s">
        <v>1373</v>
      </c>
      <c r="B521" s="195" t="s">
        <v>1372</v>
      </c>
      <c r="E521" s="226"/>
      <c r="F521" s="226" t="s">
        <v>908</v>
      </c>
      <c r="G521" s="220" t="str">
        <f t="shared" si="51"/>
        <v>26/3/2008</v>
      </c>
      <c r="H521" s="221">
        <v>26</v>
      </c>
      <c r="I521" s="221">
        <v>3</v>
      </c>
      <c r="J521" s="221">
        <v>2008</v>
      </c>
      <c r="K521" s="221" t="s">
        <v>1129</v>
      </c>
      <c r="L521" s="226"/>
      <c r="M521" s="221" t="s">
        <v>869</v>
      </c>
      <c r="N521" s="239">
        <v>1386.2</v>
      </c>
      <c r="O521" s="239"/>
      <c r="Q521" s="221">
        <v>10</v>
      </c>
      <c r="R521" s="112">
        <f t="shared" ref="R521:R584" si="53">(((N521)-1)/10)/12</f>
        <v>11.543333333333335</v>
      </c>
      <c r="S521" s="223">
        <f t="shared" si="50"/>
        <v>842.66333333333341</v>
      </c>
      <c r="T521" s="223">
        <f t="shared" si="48"/>
        <v>543.53666666666663</v>
      </c>
      <c r="U521" s="221">
        <v>10793</v>
      </c>
      <c r="V521" s="233"/>
      <c r="W521" s="223"/>
      <c r="X521" s="196">
        <f t="shared" si="52"/>
        <v>73</v>
      </c>
    </row>
    <row r="522" spans="1:24" s="221" customFormat="1">
      <c r="A522" s="221" t="s">
        <v>1371</v>
      </c>
      <c r="B522" s="195" t="s">
        <v>1368</v>
      </c>
      <c r="D522" s="221" t="s">
        <v>1367</v>
      </c>
      <c r="E522" s="226"/>
      <c r="F522" s="226" t="s">
        <v>908</v>
      </c>
      <c r="G522" s="220" t="str">
        <f t="shared" si="51"/>
        <v>26/3/2008</v>
      </c>
      <c r="H522" s="221">
        <v>26</v>
      </c>
      <c r="I522" s="221">
        <v>3</v>
      </c>
      <c r="J522" s="221">
        <v>2008</v>
      </c>
      <c r="K522" s="221" t="s">
        <v>1129</v>
      </c>
      <c r="L522" s="226"/>
      <c r="M522" s="221" t="s">
        <v>869</v>
      </c>
      <c r="N522" s="224">
        <v>255.2</v>
      </c>
      <c r="O522" s="224"/>
      <c r="Q522" s="221">
        <v>10</v>
      </c>
      <c r="R522" s="112">
        <f t="shared" si="53"/>
        <v>2.1183333333333332</v>
      </c>
      <c r="S522" s="223">
        <f t="shared" si="50"/>
        <v>154.63833333333332</v>
      </c>
      <c r="T522" s="223">
        <f t="shared" ref="T522:T585" si="54">N522-S522</f>
        <v>100.56166666666667</v>
      </c>
      <c r="U522" s="221">
        <v>10793</v>
      </c>
      <c r="V522" s="233"/>
      <c r="W522" s="223"/>
      <c r="X522" s="196">
        <f t="shared" si="52"/>
        <v>73</v>
      </c>
    </row>
    <row r="523" spans="1:24" s="221" customFormat="1">
      <c r="A523" s="221" t="s">
        <v>1370</v>
      </c>
      <c r="B523" s="195" t="s">
        <v>1368</v>
      </c>
      <c r="D523" s="221" t="s">
        <v>1367</v>
      </c>
      <c r="E523" s="226"/>
      <c r="F523" s="226" t="s">
        <v>908</v>
      </c>
      <c r="G523" s="220" t="str">
        <f t="shared" si="51"/>
        <v>26/3/2008</v>
      </c>
      <c r="H523" s="221">
        <v>26</v>
      </c>
      <c r="I523" s="221">
        <v>3</v>
      </c>
      <c r="J523" s="221">
        <v>2008</v>
      </c>
      <c r="K523" s="221" t="s">
        <v>1129</v>
      </c>
      <c r="L523" s="226"/>
      <c r="M523" s="221" t="s">
        <v>869</v>
      </c>
      <c r="N523" s="224">
        <v>255.2</v>
      </c>
      <c r="O523" s="224"/>
      <c r="Q523" s="221">
        <v>10</v>
      </c>
      <c r="R523" s="112">
        <f t="shared" si="53"/>
        <v>2.1183333333333332</v>
      </c>
      <c r="S523" s="223">
        <f t="shared" si="50"/>
        <v>154.63833333333332</v>
      </c>
      <c r="T523" s="223">
        <f t="shared" si="54"/>
        <v>100.56166666666667</v>
      </c>
      <c r="U523" s="221">
        <v>10793</v>
      </c>
      <c r="V523" s="233"/>
      <c r="W523" s="223"/>
      <c r="X523" s="196">
        <f t="shared" si="52"/>
        <v>73</v>
      </c>
    </row>
    <row r="524" spans="1:24" s="221" customFormat="1">
      <c r="A524" s="221" t="s">
        <v>1369</v>
      </c>
      <c r="B524" s="195" t="s">
        <v>1368</v>
      </c>
      <c r="D524" s="221" t="s">
        <v>1367</v>
      </c>
      <c r="E524" s="226"/>
      <c r="F524" s="226" t="s">
        <v>908</v>
      </c>
      <c r="G524" s="220" t="str">
        <f t="shared" si="51"/>
        <v>26/3/2008</v>
      </c>
      <c r="H524" s="221">
        <v>26</v>
      </c>
      <c r="I524" s="221">
        <v>3</v>
      </c>
      <c r="J524" s="221">
        <v>2008</v>
      </c>
      <c r="K524" s="221" t="s">
        <v>1129</v>
      </c>
      <c r="L524" s="226"/>
      <c r="M524" s="221" t="s">
        <v>869</v>
      </c>
      <c r="N524" s="224">
        <v>255.2</v>
      </c>
      <c r="O524" s="224"/>
      <c r="Q524" s="221">
        <v>10</v>
      </c>
      <c r="R524" s="112">
        <f t="shared" si="53"/>
        <v>2.1183333333333332</v>
      </c>
      <c r="S524" s="223">
        <f t="shared" si="50"/>
        <v>154.63833333333332</v>
      </c>
      <c r="T524" s="223">
        <f t="shared" si="54"/>
        <v>100.56166666666667</v>
      </c>
      <c r="U524" s="221">
        <v>10793</v>
      </c>
      <c r="V524" s="233"/>
      <c r="W524" s="223"/>
      <c r="X524" s="196">
        <f t="shared" si="52"/>
        <v>73</v>
      </c>
    </row>
    <row r="525" spans="1:24" s="221" customFormat="1">
      <c r="A525" s="221" t="s">
        <v>1366</v>
      </c>
      <c r="B525" s="195" t="s">
        <v>1362</v>
      </c>
      <c r="E525" s="226"/>
      <c r="F525" s="226" t="s">
        <v>908</v>
      </c>
      <c r="G525" s="220" t="str">
        <f t="shared" si="51"/>
        <v>26/3/2008</v>
      </c>
      <c r="H525" s="221">
        <v>26</v>
      </c>
      <c r="I525" s="221">
        <v>3</v>
      </c>
      <c r="J525" s="221">
        <v>2008</v>
      </c>
      <c r="K525" s="221" t="s">
        <v>1129</v>
      </c>
      <c r="L525" s="226" t="s">
        <v>1215</v>
      </c>
      <c r="M525" s="221" t="s">
        <v>869</v>
      </c>
      <c r="N525" s="224">
        <v>4372.04</v>
      </c>
      <c r="O525" s="224"/>
      <c r="Q525" s="221">
        <v>10</v>
      </c>
      <c r="R525" s="112">
        <f t="shared" si="53"/>
        <v>36.425333333333334</v>
      </c>
      <c r="S525" s="223">
        <f t="shared" si="50"/>
        <v>2659.0493333333334</v>
      </c>
      <c r="T525" s="223">
        <f t="shared" si="54"/>
        <v>1712.9906666666666</v>
      </c>
      <c r="U525" s="221">
        <v>10793</v>
      </c>
      <c r="V525" s="233"/>
      <c r="W525" s="223"/>
      <c r="X525" s="196">
        <f t="shared" si="52"/>
        <v>73</v>
      </c>
    </row>
    <row r="526" spans="1:24" s="221" customFormat="1">
      <c r="A526" s="221" t="s">
        <v>1365</v>
      </c>
      <c r="B526" s="195" t="s">
        <v>1362</v>
      </c>
      <c r="E526" s="226"/>
      <c r="F526" s="226" t="s">
        <v>908</v>
      </c>
      <c r="G526" s="220" t="str">
        <f t="shared" si="51"/>
        <v>26/3/2008</v>
      </c>
      <c r="H526" s="221">
        <v>26</v>
      </c>
      <c r="I526" s="221">
        <v>3</v>
      </c>
      <c r="J526" s="221">
        <v>2008</v>
      </c>
      <c r="K526" s="221" t="s">
        <v>1129</v>
      </c>
      <c r="L526" s="226"/>
      <c r="M526" s="221" t="s">
        <v>869</v>
      </c>
      <c r="N526" s="224">
        <v>4372.04</v>
      </c>
      <c r="O526" s="224"/>
      <c r="Q526" s="221">
        <v>10</v>
      </c>
      <c r="R526" s="112">
        <f t="shared" si="53"/>
        <v>36.425333333333334</v>
      </c>
      <c r="S526" s="223">
        <f t="shared" si="50"/>
        <v>2659.0493333333334</v>
      </c>
      <c r="T526" s="223">
        <f t="shared" si="54"/>
        <v>1712.9906666666666</v>
      </c>
      <c r="U526" s="221">
        <v>10793</v>
      </c>
      <c r="V526" s="233"/>
      <c r="W526" s="223"/>
      <c r="X526" s="196">
        <f t="shared" si="52"/>
        <v>73</v>
      </c>
    </row>
    <row r="527" spans="1:24" s="221" customFormat="1">
      <c r="A527" s="221" t="s">
        <v>1364</v>
      </c>
      <c r="B527" s="195" t="s">
        <v>1362</v>
      </c>
      <c r="E527" s="226"/>
      <c r="F527" s="226" t="s">
        <v>908</v>
      </c>
      <c r="G527" s="220" t="str">
        <f t="shared" si="51"/>
        <v>26/3/2008</v>
      </c>
      <c r="H527" s="221">
        <v>26</v>
      </c>
      <c r="I527" s="221">
        <v>3</v>
      </c>
      <c r="J527" s="221">
        <v>2008</v>
      </c>
      <c r="K527" s="221" t="s">
        <v>1129</v>
      </c>
      <c r="L527" s="226"/>
      <c r="M527" s="221" t="s">
        <v>869</v>
      </c>
      <c r="N527" s="224">
        <v>4372.04</v>
      </c>
      <c r="O527" s="224"/>
      <c r="Q527" s="221">
        <v>10</v>
      </c>
      <c r="R527" s="112">
        <f t="shared" si="53"/>
        <v>36.425333333333334</v>
      </c>
      <c r="S527" s="223">
        <f t="shared" si="50"/>
        <v>2659.0493333333334</v>
      </c>
      <c r="T527" s="223">
        <f t="shared" si="54"/>
        <v>1712.9906666666666</v>
      </c>
      <c r="U527" s="221">
        <v>10793</v>
      </c>
      <c r="V527" s="233"/>
      <c r="W527" s="223"/>
      <c r="X527" s="196">
        <f t="shared" si="52"/>
        <v>73</v>
      </c>
    </row>
    <row r="528" spans="1:24" s="221" customFormat="1">
      <c r="A528" s="221" t="s">
        <v>1363</v>
      </c>
      <c r="B528" s="195" t="s">
        <v>1362</v>
      </c>
      <c r="E528" s="226"/>
      <c r="F528" s="226" t="s">
        <v>908</v>
      </c>
      <c r="G528" s="220" t="str">
        <f t="shared" si="51"/>
        <v>26/3/2008</v>
      </c>
      <c r="H528" s="221">
        <v>26</v>
      </c>
      <c r="I528" s="221">
        <v>3</v>
      </c>
      <c r="J528" s="221">
        <v>2008</v>
      </c>
      <c r="K528" s="221" t="s">
        <v>1129</v>
      </c>
      <c r="L528" s="226"/>
      <c r="M528" s="221" t="s">
        <v>869</v>
      </c>
      <c r="N528" s="224">
        <v>4372.04</v>
      </c>
      <c r="O528" s="224"/>
      <c r="Q528" s="221">
        <v>10</v>
      </c>
      <c r="R528" s="112">
        <f t="shared" si="53"/>
        <v>36.425333333333334</v>
      </c>
      <c r="S528" s="223">
        <f t="shared" si="50"/>
        <v>2659.0493333333334</v>
      </c>
      <c r="T528" s="223">
        <f t="shared" si="54"/>
        <v>1712.9906666666666</v>
      </c>
      <c r="U528" s="221">
        <v>10793</v>
      </c>
      <c r="V528" s="233"/>
      <c r="W528" s="223"/>
      <c r="X528" s="196">
        <f t="shared" si="52"/>
        <v>73</v>
      </c>
    </row>
    <row r="529" spans="1:24" s="221" customFormat="1">
      <c r="A529" s="221" t="s">
        <v>1361</v>
      </c>
      <c r="B529" s="195" t="s">
        <v>1357</v>
      </c>
      <c r="E529" s="226"/>
      <c r="F529" s="226" t="s">
        <v>962</v>
      </c>
      <c r="G529" s="220" t="str">
        <f t="shared" si="51"/>
        <v>14/4/2008</v>
      </c>
      <c r="H529" s="221">
        <v>14</v>
      </c>
      <c r="I529" s="221">
        <v>4</v>
      </c>
      <c r="J529" s="221">
        <v>2008</v>
      </c>
      <c r="K529" s="221" t="s">
        <v>184</v>
      </c>
      <c r="L529" s="226"/>
      <c r="M529" s="221" t="s">
        <v>869</v>
      </c>
      <c r="N529" s="224">
        <v>6684.38</v>
      </c>
      <c r="O529" s="224"/>
      <c r="Q529" s="221">
        <v>10</v>
      </c>
      <c r="R529" s="112">
        <f t="shared" si="53"/>
        <v>55.694833333333328</v>
      </c>
      <c r="S529" s="223">
        <f t="shared" si="50"/>
        <v>4010.0279999999998</v>
      </c>
      <c r="T529" s="223">
        <f t="shared" si="54"/>
        <v>2674.3520000000003</v>
      </c>
      <c r="U529" s="221">
        <v>10899</v>
      </c>
      <c r="V529" s="233"/>
      <c r="W529" s="223"/>
      <c r="X529" s="196">
        <f t="shared" si="52"/>
        <v>72</v>
      </c>
    </row>
    <row r="530" spans="1:24" s="221" customFormat="1">
      <c r="A530" s="221" t="s">
        <v>1360</v>
      </c>
      <c r="B530" s="195" t="s">
        <v>1359</v>
      </c>
      <c r="E530" s="226"/>
      <c r="F530" s="226" t="s">
        <v>962</v>
      </c>
      <c r="G530" s="220" t="str">
        <f t="shared" si="51"/>
        <v>14/4/2008</v>
      </c>
      <c r="H530" s="221">
        <v>14</v>
      </c>
      <c r="I530" s="221">
        <v>4</v>
      </c>
      <c r="J530" s="221">
        <v>2008</v>
      </c>
      <c r="K530" s="221" t="s">
        <v>184</v>
      </c>
      <c r="L530" s="226"/>
      <c r="M530" s="221" t="s">
        <v>869</v>
      </c>
      <c r="N530" s="224">
        <v>580</v>
      </c>
      <c r="O530" s="224"/>
      <c r="Q530" s="221">
        <v>10</v>
      </c>
      <c r="R530" s="112">
        <f t="shared" si="53"/>
        <v>4.8250000000000002</v>
      </c>
      <c r="S530" s="223">
        <f t="shared" si="50"/>
        <v>347.40000000000003</v>
      </c>
      <c r="T530" s="223">
        <f t="shared" si="54"/>
        <v>232.59999999999997</v>
      </c>
      <c r="U530" s="221">
        <v>10899</v>
      </c>
      <c r="V530" s="233"/>
      <c r="W530" s="223"/>
      <c r="X530" s="196">
        <f t="shared" si="52"/>
        <v>72</v>
      </c>
    </row>
    <row r="531" spans="1:24" s="221" customFormat="1">
      <c r="A531" s="221" t="s">
        <v>1358</v>
      </c>
      <c r="B531" s="195" t="s">
        <v>1357</v>
      </c>
      <c r="E531" s="226"/>
      <c r="F531" s="226" t="s">
        <v>962</v>
      </c>
      <c r="G531" s="220" t="str">
        <f t="shared" si="51"/>
        <v>14/4/2008</v>
      </c>
      <c r="H531" s="221">
        <v>14</v>
      </c>
      <c r="I531" s="221">
        <v>4</v>
      </c>
      <c r="J531" s="221">
        <v>2008</v>
      </c>
      <c r="K531" s="221" t="s">
        <v>184</v>
      </c>
      <c r="L531" s="226"/>
      <c r="M531" s="221" t="s">
        <v>869</v>
      </c>
      <c r="N531" s="224">
        <v>4820.96</v>
      </c>
      <c r="O531" s="224"/>
      <c r="Q531" s="221">
        <v>10</v>
      </c>
      <c r="R531" s="112">
        <f t="shared" si="53"/>
        <v>40.166333333333334</v>
      </c>
      <c r="S531" s="223">
        <f t="shared" si="50"/>
        <v>2891.9760000000001</v>
      </c>
      <c r="T531" s="223">
        <f t="shared" si="54"/>
        <v>1928.9839999999999</v>
      </c>
      <c r="U531" s="221">
        <v>10899</v>
      </c>
      <c r="V531" s="233"/>
      <c r="W531" s="223"/>
      <c r="X531" s="196">
        <f t="shared" si="52"/>
        <v>72</v>
      </c>
    </row>
    <row r="532" spans="1:24" s="221" customFormat="1">
      <c r="A532" s="221" t="s">
        <v>1356</v>
      </c>
      <c r="B532" s="195" t="s">
        <v>1355</v>
      </c>
      <c r="E532" s="226"/>
      <c r="F532" s="226" t="s">
        <v>962</v>
      </c>
      <c r="G532" s="220" t="str">
        <f t="shared" si="51"/>
        <v>14/4/2008</v>
      </c>
      <c r="H532" s="221">
        <v>14</v>
      </c>
      <c r="I532" s="221">
        <v>4</v>
      </c>
      <c r="J532" s="221">
        <v>2008</v>
      </c>
      <c r="K532" s="221" t="s">
        <v>184</v>
      </c>
      <c r="L532" s="226"/>
      <c r="M532" s="221" t="s">
        <v>869</v>
      </c>
      <c r="N532" s="224">
        <v>5048.32</v>
      </c>
      <c r="O532" s="224"/>
      <c r="Q532" s="221">
        <v>10</v>
      </c>
      <c r="R532" s="112">
        <f t="shared" si="53"/>
        <v>42.061</v>
      </c>
      <c r="S532" s="223">
        <f t="shared" si="50"/>
        <v>3028.3919999999998</v>
      </c>
      <c r="T532" s="223">
        <f t="shared" si="54"/>
        <v>2019.9279999999999</v>
      </c>
      <c r="U532" s="221">
        <v>10899</v>
      </c>
      <c r="V532" s="233"/>
      <c r="W532" s="223"/>
      <c r="X532" s="196">
        <f t="shared" si="52"/>
        <v>72</v>
      </c>
    </row>
    <row r="533" spans="1:24" s="221" customFormat="1">
      <c r="A533" s="221" t="s">
        <v>1354</v>
      </c>
      <c r="B533" s="195" t="s">
        <v>1353</v>
      </c>
      <c r="E533" s="226"/>
      <c r="F533" s="226" t="s">
        <v>962</v>
      </c>
      <c r="G533" s="220" t="str">
        <f t="shared" si="51"/>
        <v>14/4/2008</v>
      </c>
      <c r="H533" s="221">
        <v>14</v>
      </c>
      <c r="I533" s="221">
        <v>4</v>
      </c>
      <c r="J533" s="221">
        <v>2008</v>
      </c>
      <c r="K533" s="221" t="s">
        <v>184</v>
      </c>
      <c r="L533" s="226"/>
      <c r="M533" s="221" t="s">
        <v>869</v>
      </c>
      <c r="N533" s="224">
        <v>2285.1999999999998</v>
      </c>
      <c r="O533" s="224"/>
      <c r="Q533" s="221">
        <v>10</v>
      </c>
      <c r="R533" s="112">
        <f t="shared" si="53"/>
        <v>19.035</v>
      </c>
      <c r="S533" s="223">
        <f t="shared" si="50"/>
        <v>1370.52</v>
      </c>
      <c r="T533" s="223">
        <f t="shared" si="54"/>
        <v>914.67999999999984</v>
      </c>
      <c r="U533" s="221">
        <v>10899</v>
      </c>
      <c r="V533" s="233"/>
      <c r="W533" s="223"/>
      <c r="X533" s="196">
        <f t="shared" si="52"/>
        <v>72</v>
      </c>
    </row>
    <row r="534" spans="1:24" s="221" customFormat="1">
      <c r="A534" s="221" t="s">
        <v>1352</v>
      </c>
      <c r="B534" s="195" t="s">
        <v>1351</v>
      </c>
      <c r="E534" s="226"/>
      <c r="F534" s="226" t="s">
        <v>962</v>
      </c>
      <c r="G534" s="220" t="str">
        <f t="shared" si="51"/>
        <v>14/4/2008</v>
      </c>
      <c r="H534" s="221">
        <v>14</v>
      </c>
      <c r="I534" s="221">
        <v>4</v>
      </c>
      <c r="J534" s="221">
        <v>2008</v>
      </c>
      <c r="K534" s="221" t="s">
        <v>184</v>
      </c>
      <c r="L534" s="226"/>
      <c r="M534" s="221" t="s">
        <v>869</v>
      </c>
      <c r="N534" s="224">
        <v>1603.58</v>
      </c>
      <c r="O534" s="224"/>
      <c r="Q534" s="221">
        <v>10</v>
      </c>
      <c r="R534" s="112">
        <f t="shared" si="53"/>
        <v>13.354833333333332</v>
      </c>
      <c r="S534" s="223">
        <f t="shared" si="50"/>
        <v>961.54799999999989</v>
      </c>
      <c r="T534" s="223">
        <f t="shared" si="54"/>
        <v>642.03200000000004</v>
      </c>
      <c r="U534" s="221">
        <v>10899</v>
      </c>
      <c r="V534" s="233"/>
      <c r="W534" s="223"/>
      <c r="X534" s="196">
        <f t="shared" si="52"/>
        <v>72</v>
      </c>
    </row>
    <row r="535" spans="1:24" s="221" customFormat="1">
      <c r="A535" s="221" t="s">
        <v>1350</v>
      </c>
      <c r="B535" s="195" t="s">
        <v>1349</v>
      </c>
      <c r="E535" s="226"/>
      <c r="F535" s="226" t="s">
        <v>962</v>
      </c>
      <c r="G535" s="220" t="str">
        <f t="shared" si="51"/>
        <v>14/4/2008</v>
      </c>
      <c r="H535" s="221">
        <v>14</v>
      </c>
      <c r="I535" s="221">
        <v>4</v>
      </c>
      <c r="J535" s="221">
        <v>2008</v>
      </c>
      <c r="K535" s="221" t="s">
        <v>184</v>
      </c>
      <c r="L535" s="226"/>
      <c r="M535" s="221" t="s">
        <v>869</v>
      </c>
      <c r="N535" s="224">
        <v>3925.44</v>
      </c>
      <c r="O535" s="224"/>
      <c r="Q535" s="221">
        <v>10</v>
      </c>
      <c r="R535" s="112">
        <f t="shared" si="53"/>
        <v>32.70366666666667</v>
      </c>
      <c r="S535" s="223">
        <f t="shared" si="50"/>
        <v>2354.6640000000002</v>
      </c>
      <c r="T535" s="223">
        <f t="shared" si="54"/>
        <v>1570.7759999999998</v>
      </c>
      <c r="V535" s="233"/>
      <c r="W535" s="223"/>
      <c r="X535" s="196">
        <f t="shared" si="52"/>
        <v>72</v>
      </c>
    </row>
    <row r="536" spans="1:24" s="221" customFormat="1">
      <c r="A536" s="221" t="s">
        <v>1348</v>
      </c>
      <c r="B536" s="195" t="s">
        <v>1343</v>
      </c>
      <c r="D536" s="221" t="s">
        <v>1342</v>
      </c>
      <c r="E536" s="226"/>
      <c r="F536" s="226" t="s">
        <v>908</v>
      </c>
      <c r="G536" s="220" t="str">
        <f t="shared" si="51"/>
        <v>23/5/2008</v>
      </c>
      <c r="H536" s="221">
        <v>23</v>
      </c>
      <c r="I536" s="221">
        <v>5</v>
      </c>
      <c r="J536" s="221">
        <v>2008</v>
      </c>
      <c r="K536" s="221" t="s">
        <v>184</v>
      </c>
      <c r="L536" s="226"/>
      <c r="M536" s="221" t="s">
        <v>869</v>
      </c>
      <c r="N536" s="239">
        <v>2279.4</v>
      </c>
      <c r="O536" s="239"/>
      <c r="Q536" s="221">
        <v>10</v>
      </c>
      <c r="R536" s="112">
        <f t="shared" si="53"/>
        <v>18.986666666666668</v>
      </c>
      <c r="S536" s="223">
        <f t="shared" si="50"/>
        <v>1348.0533333333335</v>
      </c>
      <c r="T536" s="223">
        <f t="shared" si="54"/>
        <v>931.34666666666658</v>
      </c>
      <c r="U536" s="221">
        <v>11040</v>
      </c>
      <c r="V536" s="233"/>
      <c r="W536" s="223"/>
      <c r="X536" s="196">
        <f t="shared" si="52"/>
        <v>71</v>
      </c>
    </row>
    <row r="537" spans="1:24" s="221" customFormat="1">
      <c r="A537" s="221" t="s">
        <v>1347</v>
      </c>
      <c r="B537" s="195" t="s">
        <v>1343</v>
      </c>
      <c r="D537" s="221" t="s">
        <v>1342</v>
      </c>
      <c r="E537" s="226"/>
      <c r="F537" s="226" t="s">
        <v>908</v>
      </c>
      <c r="G537" s="220" t="str">
        <f t="shared" si="51"/>
        <v>23/5/2008</v>
      </c>
      <c r="H537" s="221">
        <v>23</v>
      </c>
      <c r="I537" s="221">
        <v>5</v>
      </c>
      <c r="J537" s="221">
        <v>2008</v>
      </c>
      <c r="K537" s="221" t="s">
        <v>184</v>
      </c>
      <c r="L537" s="226"/>
      <c r="M537" s="221" t="s">
        <v>869</v>
      </c>
      <c r="N537" s="239">
        <v>2279.4</v>
      </c>
      <c r="O537" s="239"/>
      <c r="Q537" s="221">
        <v>10</v>
      </c>
      <c r="R537" s="112">
        <f t="shared" si="53"/>
        <v>18.986666666666668</v>
      </c>
      <c r="S537" s="223">
        <f t="shared" si="50"/>
        <v>1348.0533333333335</v>
      </c>
      <c r="T537" s="223">
        <f t="shared" si="54"/>
        <v>931.34666666666658</v>
      </c>
      <c r="U537" s="221">
        <v>11040</v>
      </c>
      <c r="V537" s="233"/>
      <c r="W537" s="223"/>
      <c r="X537" s="196">
        <f t="shared" si="52"/>
        <v>71</v>
      </c>
    </row>
    <row r="538" spans="1:24" s="221" customFormat="1">
      <c r="A538" s="221" t="s">
        <v>1346</v>
      </c>
      <c r="B538" s="195" t="s">
        <v>1343</v>
      </c>
      <c r="D538" s="221" t="s">
        <v>1342</v>
      </c>
      <c r="E538" s="226"/>
      <c r="F538" s="226" t="s">
        <v>908</v>
      </c>
      <c r="G538" s="220" t="str">
        <f t="shared" si="51"/>
        <v>23/5/2008</v>
      </c>
      <c r="H538" s="221">
        <v>23</v>
      </c>
      <c r="I538" s="221">
        <v>5</v>
      </c>
      <c r="J538" s="221">
        <v>2008</v>
      </c>
      <c r="K538" s="221" t="s">
        <v>184</v>
      </c>
      <c r="L538" s="226"/>
      <c r="M538" s="221" t="s">
        <v>869</v>
      </c>
      <c r="N538" s="239">
        <v>2279.4</v>
      </c>
      <c r="O538" s="239"/>
      <c r="Q538" s="221">
        <v>10</v>
      </c>
      <c r="R538" s="112">
        <f t="shared" si="53"/>
        <v>18.986666666666668</v>
      </c>
      <c r="S538" s="223">
        <f t="shared" si="50"/>
        <v>1348.0533333333335</v>
      </c>
      <c r="T538" s="223">
        <f t="shared" si="54"/>
        <v>931.34666666666658</v>
      </c>
      <c r="U538" s="221">
        <v>11040</v>
      </c>
      <c r="V538" s="233"/>
      <c r="W538" s="223"/>
      <c r="X538" s="196">
        <f t="shared" si="52"/>
        <v>71</v>
      </c>
    </row>
    <row r="539" spans="1:24" s="221" customFormat="1">
      <c r="A539" s="221" t="s">
        <v>1345</v>
      </c>
      <c r="B539" s="195" t="s">
        <v>1343</v>
      </c>
      <c r="D539" s="221" t="s">
        <v>1342</v>
      </c>
      <c r="E539" s="226"/>
      <c r="F539" s="226" t="s">
        <v>908</v>
      </c>
      <c r="G539" s="220" t="str">
        <f t="shared" si="51"/>
        <v>23/5/2008</v>
      </c>
      <c r="H539" s="221">
        <v>23</v>
      </c>
      <c r="I539" s="221">
        <v>5</v>
      </c>
      <c r="J539" s="221">
        <v>2008</v>
      </c>
      <c r="K539" s="221" t="s">
        <v>184</v>
      </c>
      <c r="L539" s="226"/>
      <c r="M539" s="221" t="s">
        <v>869</v>
      </c>
      <c r="N539" s="239">
        <v>2279.4</v>
      </c>
      <c r="O539" s="239"/>
      <c r="Q539" s="221">
        <v>10</v>
      </c>
      <c r="R539" s="112">
        <f t="shared" si="53"/>
        <v>18.986666666666668</v>
      </c>
      <c r="S539" s="223">
        <f t="shared" si="50"/>
        <v>1348.0533333333335</v>
      </c>
      <c r="T539" s="223">
        <f t="shared" si="54"/>
        <v>931.34666666666658</v>
      </c>
      <c r="U539" s="221">
        <v>11040</v>
      </c>
      <c r="V539" s="233"/>
      <c r="W539" s="223"/>
      <c r="X539" s="196">
        <f t="shared" si="52"/>
        <v>71</v>
      </c>
    </row>
    <row r="540" spans="1:24" s="221" customFormat="1">
      <c r="A540" s="221" t="s">
        <v>1344</v>
      </c>
      <c r="B540" s="195" t="s">
        <v>1343</v>
      </c>
      <c r="D540" s="221" t="s">
        <v>1342</v>
      </c>
      <c r="E540" s="226"/>
      <c r="F540" s="226" t="s">
        <v>908</v>
      </c>
      <c r="G540" s="220" t="str">
        <f t="shared" si="51"/>
        <v>23/5/2008</v>
      </c>
      <c r="H540" s="221">
        <v>23</v>
      </c>
      <c r="I540" s="221">
        <v>5</v>
      </c>
      <c r="J540" s="221">
        <v>2008</v>
      </c>
      <c r="K540" s="221" t="s">
        <v>184</v>
      </c>
      <c r="L540" s="226"/>
      <c r="M540" s="221" t="s">
        <v>869</v>
      </c>
      <c r="N540" s="239">
        <v>2279.4</v>
      </c>
      <c r="O540" s="239"/>
      <c r="Q540" s="221">
        <v>10</v>
      </c>
      <c r="R540" s="112">
        <f t="shared" si="53"/>
        <v>18.986666666666668</v>
      </c>
      <c r="S540" s="223">
        <f t="shared" si="50"/>
        <v>1348.0533333333335</v>
      </c>
      <c r="T540" s="223">
        <f t="shared" si="54"/>
        <v>931.34666666666658</v>
      </c>
      <c r="U540" s="221">
        <v>11040</v>
      </c>
      <c r="V540" s="233"/>
      <c r="W540" s="223"/>
      <c r="X540" s="196">
        <f t="shared" si="52"/>
        <v>71</v>
      </c>
    </row>
    <row r="541" spans="1:24" s="221" customFormat="1" ht="31.5">
      <c r="A541" s="221" t="s">
        <v>1341</v>
      </c>
      <c r="B541" s="195" t="s">
        <v>1336</v>
      </c>
      <c r="E541" s="226"/>
      <c r="F541" s="226" t="s">
        <v>908</v>
      </c>
      <c r="G541" s="220" t="str">
        <f t="shared" si="51"/>
        <v>23/5/2008</v>
      </c>
      <c r="H541" s="221">
        <v>23</v>
      </c>
      <c r="I541" s="221">
        <v>5</v>
      </c>
      <c r="J541" s="221">
        <v>2008</v>
      </c>
      <c r="K541" s="221" t="s">
        <v>184</v>
      </c>
      <c r="L541" s="226"/>
      <c r="M541" s="221" t="s">
        <v>869</v>
      </c>
      <c r="N541" s="239">
        <v>2574.04</v>
      </c>
      <c r="O541" s="239"/>
      <c r="Q541" s="221">
        <v>10</v>
      </c>
      <c r="R541" s="112">
        <f t="shared" si="53"/>
        <v>21.441999999999997</v>
      </c>
      <c r="S541" s="223">
        <f t="shared" si="50"/>
        <v>1522.3819999999998</v>
      </c>
      <c r="T541" s="223">
        <f t="shared" si="54"/>
        <v>1051.6580000000001</v>
      </c>
      <c r="U541" s="221">
        <v>11040</v>
      </c>
      <c r="V541" s="233"/>
      <c r="W541" s="223"/>
      <c r="X541" s="196">
        <f t="shared" si="52"/>
        <v>71</v>
      </c>
    </row>
    <row r="542" spans="1:24" s="221" customFormat="1" ht="31.5">
      <c r="A542" s="221" t="s">
        <v>1340</v>
      </c>
      <c r="B542" s="195" t="s">
        <v>1336</v>
      </c>
      <c r="E542" s="226"/>
      <c r="F542" s="226" t="s">
        <v>908</v>
      </c>
      <c r="G542" s="220" t="str">
        <f t="shared" si="51"/>
        <v>23/5/2008</v>
      </c>
      <c r="H542" s="221">
        <v>23</v>
      </c>
      <c r="I542" s="221">
        <v>5</v>
      </c>
      <c r="J542" s="221">
        <v>2008</v>
      </c>
      <c r="K542" s="221" t="s">
        <v>184</v>
      </c>
      <c r="L542" s="226"/>
      <c r="M542" s="221" t="s">
        <v>869</v>
      </c>
      <c r="N542" s="239">
        <v>2574.04</v>
      </c>
      <c r="O542" s="239"/>
      <c r="Q542" s="221">
        <v>10</v>
      </c>
      <c r="R542" s="112">
        <f t="shared" si="53"/>
        <v>21.441999999999997</v>
      </c>
      <c r="S542" s="223">
        <f t="shared" si="50"/>
        <v>1522.3819999999998</v>
      </c>
      <c r="T542" s="223">
        <f t="shared" si="54"/>
        <v>1051.6580000000001</v>
      </c>
      <c r="U542" s="221">
        <v>11040</v>
      </c>
      <c r="V542" s="233"/>
      <c r="W542" s="223"/>
      <c r="X542" s="196">
        <f t="shared" si="52"/>
        <v>71</v>
      </c>
    </row>
    <row r="543" spans="1:24" s="221" customFormat="1" ht="31.5">
      <c r="A543" s="221" t="s">
        <v>1339</v>
      </c>
      <c r="B543" s="195" t="s">
        <v>1336</v>
      </c>
      <c r="E543" s="226"/>
      <c r="F543" s="226" t="s">
        <v>908</v>
      </c>
      <c r="G543" s="220" t="str">
        <f t="shared" si="51"/>
        <v>23/5/2008</v>
      </c>
      <c r="H543" s="221">
        <v>23</v>
      </c>
      <c r="I543" s="221">
        <v>5</v>
      </c>
      <c r="J543" s="221">
        <v>2008</v>
      </c>
      <c r="K543" s="221" t="s">
        <v>184</v>
      </c>
      <c r="L543" s="226"/>
      <c r="M543" s="221" t="s">
        <v>869</v>
      </c>
      <c r="N543" s="239">
        <v>2574.04</v>
      </c>
      <c r="O543" s="239"/>
      <c r="Q543" s="221">
        <v>10</v>
      </c>
      <c r="R543" s="112">
        <f t="shared" si="53"/>
        <v>21.441999999999997</v>
      </c>
      <c r="S543" s="223">
        <f t="shared" si="50"/>
        <v>1522.3819999999998</v>
      </c>
      <c r="T543" s="223">
        <f t="shared" si="54"/>
        <v>1051.6580000000001</v>
      </c>
      <c r="U543" s="221">
        <v>11040</v>
      </c>
      <c r="V543" s="233"/>
      <c r="W543" s="223"/>
      <c r="X543" s="196">
        <f t="shared" si="52"/>
        <v>71</v>
      </c>
    </row>
    <row r="544" spans="1:24" s="221" customFormat="1" ht="31.5">
      <c r="A544" s="221" t="s">
        <v>1338</v>
      </c>
      <c r="B544" s="195" t="s">
        <v>1336</v>
      </c>
      <c r="E544" s="226"/>
      <c r="F544" s="226" t="s">
        <v>908</v>
      </c>
      <c r="G544" s="220" t="str">
        <f t="shared" si="51"/>
        <v>23/5/2008</v>
      </c>
      <c r="H544" s="221">
        <v>23</v>
      </c>
      <c r="I544" s="221">
        <v>5</v>
      </c>
      <c r="J544" s="221">
        <v>2008</v>
      </c>
      <c r="K544" s="221" t="s">
        <v>184</v>
      </c>
      <c r="L544" s="226"/>
      <c r="M544" s="221" t="s">
        <v>869</v>
      </c>
      <c r="N544" s="239">
        <v>2574.04</v>
      </c>
      <c r="O544" s="239"/>
      <c r="Q544" s="221">
        <v>10</v>
      </c>
      <c r="R544" s="112">
        <f t="shared" si="53"/>
        <v>21.441999999999997</v>
      </c>
      <c r="S544" s="223">
        <f t="shared" si="50"/>
        <v>1522.3819999999998</v>
      </c>
      <c r="T544" s="223">
        <f t="shared" si="54"/>
        <v>1051.6580000000001</v>
      </c>
      <c r="U544" s="221">
        <v>11040</v>
      </c>
      <c r="V544" s="233"/>
      <c r="W544" s="223"/>
      <c r="X544" s="196">
        <f t="shared" si="52"/>
        <v>71</v>
      </c>
    </row>
    <row r="545" spans="1:24" s="221" customFormat="1" ht="31.5">
      <c r="A545" s="221" t="s">
        <v>1337</v>
      </c>
      <c r="B545" s="195" t="s">
        <v>1336</v>
      </c>
      <c r="E545" s="226"/>
      <c r="F545" s="226" t="s">
        <v>908</v>
      </c>
      <c r="G545" s="220" t="str">
        <f t="shared" si="51"/>
        <v>23/5/2008</v>
      </c>
      <c r="H545" s="221">
        <v>23</v>
      </c>
      <c r="I545" s="221">
        <v>5</v>
      </c>
      <c r="J545" s="221">
        <v>2008</v>
      </c>
      <c r="K545" s="221" t="s">
        <v>184</v>
      </c>
      <c r="L545" s="226"/>
      <c r="M545" s="221" t="s">
        <v>869</v>
      </c>
      <c r="N545" s="239">
        <v>2574.04</v>
      </c>
      <c r="O545" s="239"/>
      <c r="Q545" s="221">
        <v>10</v>
      </c>
      <c r="R545" s="112">
        <f t="shared" si="53"/>
        <v>21.441999999999997</v>
      </c>
      <c r="S545" s="223">
        <f t="shared" si="50"/>
        <v>1522.3819999999998</v>
      </c>
      <c r="T545" s="223">
        <f t="shared" si="54"/>
        <v>1051.6580000000001</v>
      </c>
      <c r="U545" s="221">
        <v>11040</v>
      </c>
      <c r="V545" s="233"/>
      <c r="W545" s="223"/>
      <c r="X545" s="196">
        <f t="shared" si="52"/>
        <v>71</v>
      </c>
    </row>
    <row r="546" spans="1:24" s="221" customFormat="1">
      <c r="A546" s="221" t="s">
        <v>1335</v>
      </c>
      <c r="B546" s="195" t="s">
        <v>1330</v>
      </c>
      <c r="E546" s="226"/>
      <c r="F546" s="226" t="s">
        <v>908</v>
      </c>
      <c r="G546" s="220" t="str">
        <f t="shared" si="51"/>
        <v>23/5/2008</v>
      </c>
      <c r="H546" s="221">
        <v>23</v>
      </c>
      <c r="I546" s="221">
        <v>5</v>
      </c>
      <c r="J546" s="221">
        <v>2008</v>
      </c>
      <c r="K546" s="221" t="s">
        <v>184</v>
      </c>
      <c r="L546" s="226"/>
      <c r="M546" s="221" t="s">
        <v>869</v>
      </c>
      <c r="N546" s="239">
        <v>18528.68</v>
      </c>
      <c r="O546" s="239"/>
      <c r="Q546" s="221">
        <v>10</v>
      </c>
      <c r="R546" s="112">
        <f t="shared" si="53"/>
        <v>154.39733333333334</v>
      </c>
      <c r="S546" s="223">
        <f t="shared" si="50"/>
        <v>10962.210666666666</v>
      </c>
      <c r="T546" s="223">
        <f t="shared" si="54"/>
        <v>7566.4693333333344</v>
      </c>
      <c r="U546" s="221">
        <v>11040</v>
      </c>
      <c r="V546" s="233"/>
      <c r="W546" s="223"/>
      <c r="X546" s="196">
        <f t="shared" si="52"/>
        <v>71</v>
      </c>
    </row>
    <row r="547" spans="1:24" s="221" customFormat="1">
      <c r="A547" s="221" t="s">
        <v>1334</v>
      </c>
      <c r="B547" s="195" t="s">
        <v>1330</v>
      </c>
      <c r="E547" s="226"/>
      <c r="F547" s="226" t="s">
        <v>908</v>
      </c>
      <c r="G547" s="220" t="str">
        <f t="shared" si="51"/>
        <v>23/5/2008</v>
      </c>
      <c r="H547" s="221">
        <v>23</v>
      </c>
      <c r="I547" s="221">
        <v>5</v>
      </c>
      <c r="J547" s="221">
        <v>2008</v>
      </c>
      <c r="K547" s="221" t="s">
        <v>184</v>
      </c>
      <c r="L547" s="226"/>
      <c r="M547" s="221" t="s">
        <v>869</v>
      </c>
      <c r="N547" s="239">
        <v>18528.68</v>
      </c>
      <c r="O547" s="239"/>
      <c r="Q547" s="221">
        <v>10</v>
      </c>
      <c r="R547" s="112">
        <f t="shared" si="53"/>
        <v>154.39733333333334</v>
      </c>
      <c r="S547" s="223">
        <f t="shared" si="50"/>
        <v>10962.210666666666</v>
      </c>
      <c r="T547" s="223">
        <f t="shared" si="54"/>
        <v>7566.4693333333344</v>
      </c>
      <c r="U547" s="221">
        <v>11040</v>
      </c>
      <c r="V547" s="233"/>
      <c r="W547" s="223"/>
      <c r="X547" s="196">
        <f t="shared" si="52"/>
        <v>71</v>
      </c>
    </row>
    <row r="548" spans="1:24" s="221" customFormat="1">
      <c r="A548" s="221" t="s">
        <v>1333</v>
      </c>
      <c r="B548" s="195" t="s">
        <v>1330</v>
      </c>
      <c r="E548" s="226"/>
      <c r="F548" s="226" t="s">
        <v>908</v>
      </c>
      <c r="G548" s="220" t="str">
        <f t="shared" si="51"/>
        <v>23/5/2008</v>
      </c>
      <c r="H548" s="221">
        <v>23</v>
      </c>
      <c r="I548" s="221">
        <v>5</v>
      </c>
      <c r="J548" s="221">
        <v>2008</v>
      </c>
      <c r="K548" s="221" t="s">
        <v>184</v>
      </c>
      <c r="L548" s="226"/>
      <c r="M548" s="221" t="s">
        <v>869</v>
      </c>
      <c r="N548" s="239">
        <v>18528.68</v>
      </c>
      <c r="O548" s="239"/>
      <c r="Q548" s="221">
        <v>10</v>
      </c>
      <c r="R548" s="112">
        <f t="shared" si="53"/>
        <v>154.39733333333334</v>
      </c>
      <c r="S548" s="223">
        <f t="shared" si="50"/>
        <v>10962.210666666666</v>
      </c>
      <c r="T548" s="223">
        <f t="shared" si="54"/>
        <v>7566.4693333333344</v>
      </c>
      <c r="U548" s="221">
        <v>11040</v>
      </c>
      <c r="V548" s="233"/>
      <c r="W548" s="223"/>
      <c r="X548" s="196">
        <f t="shared" si="52"/>
        <v>71</v>
      </c>
    </row>
    <row r="549" spans="1:24" s="221" customFormat="1">
      <c r="A549" s="221" t="s">
        <v>1332</v>
      </c>
      <c r="B549" s="195" t="s">
        <v>1330</v>
      </c>
      <c r="E549" s="226"/>
      <c r="F549" s="226" t="s">
        <v>908</v>
      </c>
      <c r="G549" s="220" t="str">
        <f t="shared" si="51"/>
        <v>23/5/2008</v>
      </c>
      <c r="H549" s="221">
        <v>23</v>
      </c>
      <c r="I549" s="221">
        <v>5</v>
      </c>
      <c r="J549" s="221">
        <v>2008</v>
      </c>
      <c r="K549" s="221" t="s">
        <v>184</v>
      </c>
      <c r="L549" s="226"/>
      <c r="M549" s="221" t="s">
        <v>869</v>
      </c>
      <c r="N549" s="239">
        <v>18528.68</v>
      </c>
      <c r="O549" s="239"/>
      <c r="Q549" s="221">
        <v>10</v>
      </c>
      <c r="R549" s="112">
        <f t="shared" si="53"/>
        <v>154.39733333333334</v>
      </c>
      <c r="S549" s="223">
        <f t="shared" si="50"/>
        <v>10962.210666666666</v>
      </c>
      <c r="T549" s="223">
        <f t="shared" si="54"/>
        <v>7566.4693333333344</v>
      </c>
      <c r="U549" s="221">
        <v>11040</v>
      </c>
      <c r="V549" s="233"/>
      <c r="W549" s="223"/>
      <c r="X549" s="196">
        <f t="shared" si="52"/>
        <v>71</v>
      </c>
    </row>
    <row r="550" spans="1:24" s="221" customFormat="1">
      <c r="A550" s="221" t="s">
        <v>1331</v>
      </c>
      <c r="B550" s="195" t="s">
        <v>1330</v>
      </c>
      <c r="E550" s="226"/>
      <c r="F550" s="226" t="s">
        <v>908</v>
      </c>
      <c r="G550" s="220" t="str">
        <f t="shared" si="51"/>
        <v>23/5/2008</v>
      </c>
      <c r="H550" s="221">
        <v>23</v>
      </c>
      <c r="I550" s="221">
        <v>5</v>
      </c>
      <c r="J550" s="221">
        <v>2008</v>
      </c>
      <c r="K550" s="221" t="s">
        <v>184</v>
      </c>
      <c r="L550" s="226"/>
      <c r="M550" s="221" t="s">
        <v>869</v>
      </c>
      <c r="N550" s="239">
        <v>18528.68</v>
      </c>
      <c r="O550" s="239"/>
      <c r="Q550" s="221">
        <v>10</v>
      </c>
      <c r="R550" s="112">
        <f t="shared" si="53"/>
        <v>154.39733333333334</v>
      </c>
      <c r="S550" s="223">
        <f t="shared" si="50"/>
        <v>10962.210666666666</v>
      </c>
      <c r="T550" s="223">
        <f t="shared" si="54"/>
        <v>7566.4693333333344</v>
      </c>
      <c r="U550" s="221">
        <v>11040</v>
      </c>
      <c r="V550" s="233"/>
      <c r="W550" s="223"/>
      <c r="X550" s="196">
        <f t="shared" si="52"/>
        <v>71</v>
      </c>
    </row>
    <row r="551" spans="1:24" s="221" customFormat="1">
      <c r="A551" s="221" t="s">
        <v>1329</v>
      </c>
      <c r="B551" s="195" t="s">
        <v>1324</v>
      </c>
      <c r="D551" s="221" t="s">
        <v>1323</v>
      </c>
      <c r="E551" s="226"/>
      <c r="F551" s="226" t="s">
        <v>908</v>
      </c>
      <c r="G551" s="220" t="str">
        <f t="shared" si="51"/>
        <v>23/5/2008</v>
      </c>
      <c r="H551" s="221">
        <v>23</v>
      </c>
      <c r="I551" s="221">
        <v>5</v>
      </c>
      <c r="J551" s="221">
        <v>2008</v>
      </c>
      <c r="K551" s="221" t="s">
        <v>184</v>
      </c>
      <c r="L551" s="226"/>
      <c r="M551" s="221" t="s">
        <v>869</v>
      </c>
      <c r="N551" s="239">
        <v>636.84</v>
      </c>
      <c r="O551" s="239"/>
      <c r="Q551" s="221">
        <v>10</v>
      </c>
      <c r="R551" s="112">
        <f t="shared" si="53"/>
        <v>5.2986666666666666</v>
      </c>
      <c r="S551" s="223">
        <f t="shared" si="50"/>
        <v>376.20533333333333</v>
      </c>
      <c r="T551" s="223">
        <f t="shared" si="54"/>
        <v>260.6346666666667</v>
      </c>
      <c r="U551" s="221">
        <v>11040</v>
      </c>
      <c r="V551" s="233"/>
      <c r="W551" s="223"/>
      <c r="X551" s="196">
        <f t="shared" si="52"/>
        <v>71</v>
      </c>
    </row>
    <row r="552" spans="1:24" s="221" customFormat="1">
      <c r="A552" s="221" t="s">
        <v>1328</v>
      </c>
      <c r="B552" s="195" t="s">
        <v>1324</v>
      </c>
      <c r="D552" s="221" t="s">
        <v>1323</v>
      </c>
      <c r="E552" s="226"/>
      <c r="F552" s="226" t="s">
        <v>908</v>
      </c>
      <c r="G552" s="220" t="str">
        <f t="shared" si="51"/>
        <v>23/5/2008</v>
      </c>
      <c r="H552" s="221">
        <v>23</v>
      </c>
      <c r="I552" s="221">
        <v>5</v>
      </c>
      <c r="J552" s="221">
        <v>2008</v>
      </c>
      <c r="K552" s="221" t="s">
        <v>184</v>
      </c>
      <c r="L552" s="226"/>
      <c r="M552" s="221" t="s">
        <v>869</v>
      </c>
      <c r="N552" s="239">
        <v>636.84</v>
      </c>
      <c r="O552" s="239"/>
      <c r="Q552" s="221">
        <v>10</v>
      </c>
      <c r="R552" s="112">
        <f t="shared" si="53"/>
        <v>5.2986666666666666</v>
      </c>
      <c r="S552" s="223">
        <f t="shared" si="50"/>
        <v>376.20533333333333</v>
      </c>
      <c r="T552" s="223">
        <f t="shared" si="54"/>
        <v>260.6346666666667</v>
      </c>
      <c r="U552" s="221">
        <v>11040</v>
      </c>
      <c r="V552" s="233"/>
      <c r="W552" s="223"/>
      <c r="X552" s="196">
        <f t="shared" si="52"/>
        <v>71</v>
      </c>
    </row>
    <row r="553" spans="1:24" s="221" customFormat="1">
      <c r="A553" s="221" t="s">
        <v>1327</v>
      </c>
      <c r="B553" s="195" t="s">
        <v>1324</v>
      </c>
      <c r="D553" s="221" t="s">
        <v>1323</v>
      </c>
      <c r="E553" s="226"/>
      <c r="F553" s="226" t="s">
        <v>908</v>
      </c>
      <c r="G553" s="220" t="str">
        <f t="shared" si="51"/>
        <v>23/5/2008</v>
      </c>
      <c r="H553" s="221">
        <v>23</v>
      </c>
      <c r="I553" s="221">
        <v>5</v>
      </c>
      <c r="J553" s="221">
        <v>2008</v>
      </c>
      <c r="K553" s="221" t="s">
        <v>184</v>
      </c>
      <c r="L553" s="226"/>
      <c r="M553" s="221" t="s">
        <v>869</v>
      </c>
      <c r="N553" s="239">
        <v>636.84</v>
      </c>
      <c r="O553" s="239"/>
      <c r="Q553" s="221">
        <v>10</v>
      </c>
      <c r="R553" s="112">
        <f t="shared" si="53"/>
        <v>5.2986666666666666</v>
      </c>
      <c r="S553" s="223">
        <f t="shared" si="50"/>
        <v>376.20533333333333</v>
      </c>
      <c r="T553" s="223">
        <f t="shared" si="54"/>
        <v>260.6346666666667</v>
      </c>
      <c r="U553" s="221">
        <v>11040</v>
      </c>
      <c r="V553" s="233"/>
      <c r="W553" s="223"/>
      <c r="X553" s="196">
        <f t="shared" si="52"/>
        <v>71</v>
      </c>
    </row>
    <row r="554" spans="1:24" s="221" customFormat="1">
      <c r="A554" s="221" t="s">
        <v>1326</v>
      </c>
      <c r="B554" s="195" t="s">
        <v>1324</v>
      </c>
      <c r="D554" s="221" t="s">
        <v>1323</v>
      </c>
      <c r="E554" s="226"/>
      <c r="F554" s="226" t="s">
        <v>908</v>
      </c>
      <c r="G554" s="220" t="str">
        <f t="shared" si="51"/>
        <v>23/5/2008</v>
      </c>
      <c r="H554" s="221">
        <v>23</v>
      </c>
      <c r="I554" s="221">
        <v>5</v>
      </c>
      <c r="J554" s="221">
        <v>2008</v>
      </c>
      <c r="K554" s="221" t="s">
        <v>184</v>
      </c>
      <c r="L554" s="226"/>
      <c r="M554" s="221" t="s">
        <v>869</v>
      </c>
      <c r="N554" s="239">
        <v>636.84</v>
      </c>
      <c r="O554" s="239"/>
      <c r="Q554" s="221">
        <v>10</v>
      </c>
      <c r="R554" s="112">
        <f t="shared" si="53"/>
        <v>5.2986666666666666</v>
      </c>
      <c r="S554" s="223">
        <f t="shared" si="50"/>
        <v>376.20533333333333</v>
      </c>
      <c r="T554" s="223">
        <f t="shared" si="54"/>
        <v>260.6346666666667</v>
      </c>
      <c r="U554" s="221">
        <v>11040</v>
      </c>
      <c r="V554" s="233"/>
      <c r="W554" s="223"/>
      <c r="X554" s="196">
        <f t="shared" si="52"/>
        <v>71</v>
      </c>
    </row>
    <row r="555" spans="1:24" s="221" customFormat="1">
      <c r="A555" s="221" t="s">
        <v>1325</v>
      </c>
      <c r="B555" s="195" t="s">
        <v>1324</v>
      </c>
      <c r="D555" s="221" t="s">
        <v>1323</v>
      </c>
      <c r="E555" s="226"/>
      <c r="F555" s="226" t="s">
        <v>908</v>
      </c>
      <c r="G555" s="220" t="str">
        <f t="shared" si="51"/>
        <v>23/5/2008</v>
      </c>
      <c r="H555" s="221">
        <v>23</v>
      </c>
      <c r="I555" s="221">
        <v>5</v>
      </c>
      <c r="J555" s="221">
        <v>2008</v>
      </c>
      <c r="K555" s="221" t="s">
        <v>184</v>
      </c>
      <c r="L555" s="226"/>
      <c r="M555" s="221" t="s">
        <v>869</v>
      </c>
      <c r="N555" s="239">
        <v>636.84</v>
      </c>
      <c r="O555" s="239"/>
      <c r="Q555" s="221">
        <v>10</v>
      </c>
      <c r="R555" s="112">
        <f t="shared" si="53"/>
        <v>5.2986666666666666</v>
      </c>
      <c r="S555" s="223">
        <f t="shared" si="50"/>
        <v>376.20533333333333</v>
      </c>
      <c r="T555" s="223">
        <f t="shared" si="54"/>
        <v>260.6346666666667</v>
      </c>
      <c r="U555" s="221">
        <v>11040</v>
      </c>
      <c r="V555" s="233"/>
      <c r="W555" s="223"/>
      <c r="X555" s="196">
        <f t="shared" si="52"/>
        <v>71</v>
      </c>
    </row>
    <row r="556" spans="1:24" s="221" customFormat="1">
      <c r="A556" s="221" t="s">
        <v>1322</v>
      </c>
      <c r="B556" s="195" t="s">
        <v>1312</v>
      </c>
      <c r="E556" s="226"/>
      <c r="F556" s="226" t="s">
        <v>908</v>
      </c>
      <c r="G556" s="220" t="str">
        <f t="shared" si="51"/>
        <v>23/5/2008</v>
      </c>
      <c r="H556" s="221">
        <v>23</v>
      </c>
      <c r="I556" s="221">
        <v>5</v>
      </c>
      <c r="J556" s="221">
        <v>2008</v>
      </c>
      <c r="K556" s="221" t="s">
        <v>184</v>
      </c>
      <c r="L556" s="226"/>
      <c r="M556" s="221" t="s">
        <v>869</v>
      </c>
      <c r="N556" s="239">
        <v>600.88</v>
      </c>
      <c r="O556" s="239"/>
      <c r="Q556" s="221">
        <v>10</v>
      </c>
      <c r="R556" s="112">
        <f t="shared" si="53"/>
        <v>4.9989999999999997</v>
      </c>
      <c r="S556" s="223">
        <f t="shared" si="50"/>
        <v>354.92899999999997</v>
      </c>
      <c r="T556" s="223">
        <f t="shared" si="54"/>
        <v>245.95100000000002</v>
      </c>
      <c r="U556" s="221">
        <v>11040</v>
      </c>
      <c r="V556" s="233"/>
      <c r="W556" s="223"/>
      <c r="X556" s="196">
        <f t="shared" si="52"/>
        <v>71</v>
      </c>
    </row>
    <row r="557" spans="1:24" s="221" customFormat="1">
      <c r="A557" s="221" t="s">
        <v>1321</v>
      </c>
      <c r="B557" s="195" t="s">
        <v>1312</v>
      </c>
      <c r="E557" s="226"/>
      <c r="F557" s="226" t="s">
        <v>908</v>
      </c>
      <c r="G557" s="220" t="str">
        <f t="shared" si="51"/>
        <v>23/5/2008</v>
      </c>
      <c r="H557" s="221">
        <v>23</v>
      </c>
      <c r="I557" s="221">
        <v>5</v>
      </c>
      <c r="J557" s="221">
        <v>2008</v>
      </c>
      <c r="K557" s="221" t="s">
        <v>184</v>
      </c>
      <c r="L557" s="226"/>
      <c r="M557" s="221" t="s">
        <v>869</v>
      </c>
      <c r="N557" s="239">
        <v>600.88</v>
      </c>
      <c r="O557" s="239"/>
      <c r="Q557" s="221">
        <v>10</v>
      </c>
      <c r="R557" s="112">
        <f t="shared" si="53"/>
        <v>4.9989999999999997</v>
      </c>
      <c r="S557" s="223">
        <f t="shared" si="50"/>
        <v>354.92899999999997</v>
      </c>
      <c r="T557" s="223">
        <f t="shared" si="54"/>
        <v>245.95100000000002</v>
      </c>
      <c r="U557" s="221">
        <v>11040</v>
      </c>
      <c r="V557" s="233"/>
      <c r="W557" s="223"/>
      <c r="X557" s="196">
        <f t="shared" si="52"/>
        <v>71</v>
      </c>
    </row>
    <row r="558" spans="1:24" s="221" customFormat="1">
      <c r="A558" s="221" t="s">
        <v>1320</v>
      </c>
      <c r="B558" s="195" t="s">
        <v>1312</v>
      </c>
      <c r="E558" s="226"/>
      <c r="F558" s="226" t="s">
        <v>908</v>
      </c>
      <c r="G558" s="220" t="str">
        <f t="shared" si="51"/>
        <v>23/5/2008</v>
      </c>
      <c r="H558" s="221">
        <v>23</v>
      </c>
      <c r="I558" s="221">
        <v>5</v>
      </c>
      <c r="J558" s="221">
        <v>2008</v>
      </c>
      <c r="K558" s="221" t="s">
        <v>184</v>
      </c>
      <c r="L558" s="226"/>
      <c r="M558" s="221" t="s">
        <v>869</v>
      </c>
      <c r="N558" s="239">
        <v>600.88</v>
      </c>
      <c r="O558" s="239"/>
      <c r="Q558" s="221">
        <v>10</v>
      </c>
      <c r="R558" s="112">
        <f t="shared" si="53"/>
        <v>4.9989999999999997</v>
      </c>
      <c r="S558" s="223">
        <f t="shared" si="50"/>
        <v>354.92899999999997</v>
      </c>
      <c r="T558" s="223">
        <f t="shared" si="54"/>
        <v>245.95100000000002</v>
      </c>
      <c r="U558" s="221">
        <v>11040</v>
      </c>
      <c r="V558" s="233"/>
      <c r="W558" s="223"/>
      <c r="X558" s="196">
        <f t="shared" si="52"/>
        <v>71</v>
      </c>
    </row>
    <row r="559" spans="1:24" s="221" customFormat="1">
      <c r="A559" s="221" t="s">
        <v>1319</v>
      </c>
      <c r="B559" s="195" t="s">
        <v>1312</v>
      </c>
      <c r="E559" s="226"/>
      <c r="F559" s="226" t="s">
        <v>908</v>
      </c>
      <c r="G559" s="220" t="str">
        <f t="shared" si="51"/>
        <v>23/5/2008</v>
      </c>
      <c r="H559" s="221">
        <v>23</v>
      </c>
      <c r="I559" s="221">
        <v>5</v>
      </c>
      <c r="J559" s="221">
        <v>2008</v>
      </c>
      <c r="K559" s="221" t="s">
        <v>184</v>
      </c>
      <c r="L559" s="226"/>
      <c r="M559" s="221" t="s">
        <v>869</v>
      </c>
      <c r="N559" s="239">
        <v>600.88</v>
      </c>
      <c r="O559" s="239"/>
      <c r="Q559" s="221">
        <v>10</v>
      </c>
      <c r="R559" s="112">
        <f t="shared" si="53"/>
        <v>4.9989999999999997</v>
      </c>
      <c r="S559" s="223">
        <f t="shared" si="50"/>
        <v>354.92899999999997</v>
      </c>
      <c r="T559" s="223">
        <f t="shared" si="54"/>
        <v>245.95100000000002</v>
      </c>
      <c r="U559" s="221">
        <v>11040</v>
      </c>
      <c r="V559" s="233"/>
      <c r="W559" s="223"/>
      <c r="X559" s="196">
        <f t="shared" si="52"/>
        <v>71</v>
      </c>
    </row>
    <row r="560" spans="1:24" s="221" customFormat="1">
      <c r="A560" s="221" t="s">
        <v>1318</v>
      </c>
      <c r="B560" s="195" t="s">
        <v>1312</v>
      </c>
      <c r="E560" s="226"/>
      <c r="F560" s="226" t="s">
        <v>908</v>
      </c>
      <c r="G560" s="220" t="str">
        <f t="shared" si="51"/>
        <v>23/5/2008</v>
      </c>
      <c r="H560" s="221">
        <v>23</v>
      </c>
      <c r="I560" s="221">
        <v>5</v>
      </c>
      <c r="J560" s="221">
        <v>2008</v>
      </c>
      <c r="K560" s="221" t="s">
        <v>184</v>
      </c>
      <c r="L560" s="226"/>
      <c r="M560" s="221" t="s">
        <v>869</v>
      </c>
      <c r="N560" s="239">
        <v>600.88</v>
      </c>
      <c r="O560" s="239"/>
      <c r="Q560" s="221">
        <v>10</v>
      </c>
      <c r="R560" s="112">
        <f t="shared" si="53"/>
        <v>4.9989999999999997</v>
      </c>
      <c r="S560" s="223">
        <f t="shared" si="50"/>
        <v>354.92899999999997</v>
      </c>
      <c r="T560" s="223">
        <f t="shared" si="54"/>
        <v>245.95100000000002</v>
      </c>
      <c r="U560" s="221">
        <v>11040</v>
      </c>
      <c r="V560" s="233"/>
      <c r="W560" s="223"/>
      <c r="X560" s="196">
        <f t="shared" si="52"/>
        <v>71</v>
      </c>
    </row>
    <row r="561" spans="1:24" s="221" customFormat="1">
      <c r="A561" s="221" t="s">
        <v>1317</v>
      </c>
      <c r="B561" s="195" t="s">
        <v>1312</v>
      </c>
      <c r="E561" s="226"/>
      <c r="F561" s="226" t="s">
        <v>908</v>
      </c>
      <c r="G561" s="220" t="str">
        <f t="shared" si="51"/>
        <v>23/5/2008</v>
      </c>
      <c r="H561" s="221">
        <v>23</v>
      </c>
      <c r="I561" s="221">
        <v>5</v>
      </c>
      <c r="J561" s="221">
        <v>2008</v>
      </c>
      <c r="K561" s="221" t="s">
        <v>184</v>
      </c>
      <c r="L561" s="226"/>
      <c r="M561" s="221" t="s">
        <v>869</v>
      </c>
      <c r="N561" s="239">
        <v>600.88</v>
      </c>
      <c r="O561" s="239"/>
      <c r="Q561" s="221">
        <v>10</v>
      </c>
      <c r="R561" s="112">
        <f t="shared" si="53"/>
        <v>4.9989999999999997</v>
      </c>
      <c r="S561" s="223">
        <f t="shared" ref="S561:S624" si="55">X561*R561</f>
        <v>354.92899999999997</v>
      </c>
      <c r="T561" s="223">
        <f t="shared" si="54"/>
        <v>245.95100000000002</v>
      </c>
      <c r="U561" s="221">
        <v>11040</v>
      </c>
      <c r="V561" s="233"/>
      <c r="W561" s="223"/>
      <c r="X561" s="196">
        <f t="shared" si="52"/>
        <v>71</v>
      </c>
    </row>
    <row r="562" spans="1:24" s="221" customFormat="1">
      <c r="A562" s="221" t="s">
        <v>1316</v>
      </c>
      <c r="B562" s="195" t="s">
        <v>1312</v>
      </c>
      <c r="E562" s="226"/>
      <c r="F562" s="226" t="s">
        <v>908</v>
      </c>
      <c r="G562" s="220" t="str">
        <f t="shared" si="51"/>
        <v>23/5/2008</v>
      </c>
      <c r="H562" s="221">
        <v>23</v>
      </c>
      <c r="I562" s="221">
        <v>5</v>
      </c>
      <c r="J562" s="221">
        <v>2008</v>
      </c>
      <c r="K562" s="221" t="s">
        <v>184</v>
      </c>
      <c r="L562" s="226"/>
      <c r="M562" s="221" t="s">
        <v>869</v>
      </c>
      <c r="N562" s="239">
        <v>600.88</v>
      </c>
      <c r="O562" s="239"/>
      <c r="Q562" s="221">
        <v>10</v>
      </c>
      <c r="R562" s="112">
        <f t="shared" si="53"/>
        <v>4.9989999999999997</v>
      </c>
      <c r="S562" s="223">
        <f t="shared" si="55"/>
        <v>354.92899999999997</v>
      </c>
      <c r="T562" s="223">
        <f t="shared" si="54"/>
        <v>245.95100000000002</v>
      </c>
      <c r="U562" s="221">
        <v>11040</v>
      </c>
      <c r="V562" s="233"/>
      <c r="W562" s="223"/>
      <c r="X562" s="196">
        <f t="shared" si="52"/>
        <v>71</v>
      </c>
    </row>
    <row r="563" spans="1:24" s="221" customFormat="1">
      <c r="A563" s="221" t="s">
        <v>1315</v>
      </c>
      <c r="B563" s="195" t="s">
        <v>1312</v>
      </c>
      <c r="E563" s="226"/>
      <c r="F563" s="226" t="s">
        <v>908</v>
      </c>
      <c r="G563" s="220" t="str">
        <f t="shared" si="51"/>
        <v>23/5/2008</v>
      </c>
      <c r="H563" s="221">
        <v>23</v>
      </c>
      <c r="I563" s="221">
        <v>5</v>
      </c>
      <c r="J563" s="221">
        <v>2008</v>
      </c>
      <c r="K563" s="221" t="s">
        <v>184</v>
      </c>
      <c r="L563" s="226"/>
      <c r="M563" s="221" t="s">
        <v>869</v>
      </c>
      <c r="N563" s="239">
        <v>600.88</v>
      </c>
      <c r="O563" s="239"/>
      <c r="Q563" s="221">
        <v>10</v>
      </c>
      <c r="R563" s="112">
        <f t="shared" si="53"/>
        <v>4.9989999999999997</v>
      </c>
      <c r="S563" s="223">
        <f t="shared" si="55"/>
        <v>354.92899999999997</v>
      </c>
      <c r="T563" s="223">
        <f t="shared" si="54"/>
        <v>245.95100000000002</v>
      </c>
      <c r="U563" s="221">
        <v>11040</v>
      </c>
      <c r="V563" s="233"/>
      <c r="W563" s="223"/>
      <c r="X563" s="196">
        <f t="shared" si="52"/>
        <v>71</v>
      </c>
    </row>
    <row r="564" spans="1:24" s="221" customFormat="1">
      <c r="A564" s="221" t="s">
        <v>1314</v>
      </c>
      <c r="B564" s="195" t="s">
        <v>1312</v>
      </c>
      <c r="E564" s="226"/>
      <c r="F564" s="226" t="s">
        <v>908</v>
      </c>
      <c r="G564" s="220" t="str">
        <f t="shared" si="51"/>
        <v>23/5/2008</v>
      </c>
      <c r="H564" s="221">
        <v>23</v>
      </c>
      <c r="I564" s="221">
        <v>5</v>
      </c>
      <c r="J564" s="221">
        <v>2008</v>
      </c>
      <c r="K564" s="221" t="s">
        <v>184</v>
      </c>
      <c r="L564" s="226"/>
      <c r="M564" s="221" t="s">
        <v>869</v>
      </c>
      <c r="N564" s="239">
        <v>600.88</v>
      </c>
      <c r="O564" s="239"/>
      <c r="Q564" s="221">
        <v>10</v>
      </c>
      <c r="R564" s="112">
        <f t="shared" si="53"/>
        <v>4.9989999999999997</v>
      </c>
      <c r="S564" s="223">
        <f t="shared" si="55"/>
        <v>354.92899999999997</v>
      </c>
      <c r="T564" s="223">
        <f t="shared" si="54"/>
        <v>245.95100000000002</v>
      </c>
      <c r="U564" s="221">
        <v>11040</v>
      </c>
      <c r="V564" s="233"/>
      <c r="W564" s="223"/>
      <c r="X564" s="196">
        <f t="shared" si="52"/>
        <v>71</v>
      </c>
    </row>
    <row r="565" spans="1:24" s="221" customFormat="1">
      <c r="A565" s="221" t="s">
        <v>1313</v>
      </c>
      <c r="B565" s="195" t="s">
        <v>1312</v>
      </c>
      <c r="E565" s="226"/>
      <c r="F565" s="226" t="s">
        <v>908</v>
      </c>
      <c r="G565" s="220" t="str">
        <f t="shared" si="51"/>
        <v>23/5/2008</v>
      </c>
      <c r="H565" s="221">
        <v>23</v>
      </c>
      <c r="I565" s="221">
        <v>5</v>
      </c>
      <c r="J565" s="221">
        <v>2008</v>
      </c>
      <c r="K565" s="221" t="s">
        <v>184</v>
      </c>
      <c r="L565" s="226"/>
      <c r="M565" s="221" t="s">
        <v>869</v>
      </c>
      <c r="N565" s="239">
        <v>600.88</v>
      </c>
      <c r="O565" s="239"/>
      <c r="Q565" s="221">
        <v>10</v>
      </c>
      <c r="R565" s="112">
        <f t="shared" si="53"/>
        <v>4.9989999999999997</v>
      </c>
      <c r="S565" s="223">
        <f t="shared" si="55"/>
        <v>354.92899999999997</v>
      </c>
      <c r="T565" s="223">
        <f t="shared" si="54"/>
        <v>245.95100000000002</v>
      </c>
      <c r="U565" s="221">
        <v>11040</v>
      </c>
      <c r="V565" s="233"/>
      <c r="W565" s="223"/>
      <c r="X565" s="196">
        <f t="shared" si="52"/>
        <v>71</v>
      </c>
    </row>
    <row r="566" spans="1:24" s="221" customFormat="1" ht="31.5">
      <c r="A566" s="221" t="s">
        <v>1311</v>
      </c>
      <c r="B566" s="195" t="s">
        <v>1309</v>
      </c>
      <c r="D566" s="221" t="s">
        <v>1308</v>
      </c>
      <c r="E566" s="226"/>
      <c r="F566" s="226" t="s">
        <v>908</v>
      </c>
      <c r="G566" s="220" t="str">
        <f t="shared" si="51"/>
        <v>23/5/2008</v>
      </c>
      <c r="H566" s="221">
        <v>23</v>
      </c>
      <c r="I566" s="221">
        <v>5</v>
      </c>
      <c r="J566" s="221">
        <v>2008</v>
      </c>
      <c r="K566" s="221" t="s">
        <v>184</v>
      </c>
      <c r="L566" s="226"/>
      <c r="M566" s="221" t="s">
        <v>869</v>
      </c>
      <c r="N566" s="239">
        <v>6991.32</v>
      </c>
      <c r="O566" s="239"/>
      <c r="Q566" s="221">
        <v>10</v>
      </c>
      <c r="R566" s="112">
        <f t="shared" si="53"/>
        <v>58.252666666666663</v>
      </c>
      <c r="S566" s="223">
        <f t="shared" si="55"/>
        <v>4135.9393333333328</v>
      </c>
      <c r="T566" s="223">
        <f t="shared" si="54"/>
        <v>2855.3806666666669</v>
      </c>
      <c r="U566" s="221">
        <v>11040</v>
      </c>
      <c r="V566" s="233"/>
      <c r="W566" s="223"/>
      <c r="X566" s="196">
        <f t="shared" si="52"/>
        <v>71</v>
      </c>
    </row>
    <row r="567" spans="1:24" s="221" customFormat="1" ht="31.5">
      <c r="A567" s="221" t="s">
        <v>1310</v>
      </c>
      <c r="B567" s="195" t="s">
        <v>1309</v>
      </c>
      <c r="D567" s="221" t="s">
        <v>1308</v>
      </c>
      <c r="E567" s="226"/>
      <c r="F567" s="226" t="s">
        <v>908</v>
      </c>
      <c r="G567" s="220" t="str">
        <f t="shared" si="51"/>
        <v>23/5/2008</v>
      </c>
      <c r="H567" s="221">
        <v>23</v>
      </c>
      <c r="I567" s="221">
        <v>5</v>
      </c>
      <c r="J567" s="221">
        <v>2008</v>
      </c>
      <c r="K567" s="221" t="s">
        <v>184</v>
      </c>
      <c r="L567" s="226"/>
      <c r="M567" s="221" t="s">
        <v>869</v>
      </c>
      <c r="N567" s="239">
        <v>6991.32</v>
      </c>
      <c r="O567" s="239"/>
      <c r="Q567" s="221">
        <v>10</v>
      </c>
      <c r="R567" s="112">
        <f t="shared" si="53"/>
        <v>58.252666666666663</v>
      </c>
      <c r="S567" s="223">
        <f t="shared" si="55"/>
        <v>4135.9393333333328</v>
      </c>
      <c r="T567" s="223">
        <f t="shared" si="54"/>
        <v>2855.3806666666669</v>
      </c>
      <c r="U567" s="221">
        <v>11040</v>
      </c>
      <c r="V567" s="233"/>
      <c r="W567" s="223"/>
      <c r="X567" s="196">
        <f t="shared" si="52"/>
        <v>71</v>
      </c>
    </row>
    <row r="568" spans="1:24" s="221" customFormat="1" ht="31.5">
      <c r="A568" s="221" t="s">
        <v>1307</v>
      </c>
      <c r="B568" s="195" t="s">
        <v>1302</v>
      </c>
      <c r="D568" s="221" t="s">
        <v>1301</v>
      </c>
      <c r="E568" s="226"/>
      <c r="F568" s="226" t="s">
        <v>908</v>
      </c>
      <c r="G568" s="220" t="str">
        <f t="shared" si="51"/>
        <v>23/5/2008</v>
      </c>
      <c r="H568" s="221">
        <v>23</v>
      </c>
      <c r="I568" s="221">
        <v>5</v>
      </c>
      <c r="J568" s="221">
        <v>2008</v>
      </c>
      <c r="K568" s="221" t="s">
        <v>184</v>
      </c>
      <c r="L568" s="226"/>
      <c r="M568" s="221" t="s">
        <v>869</v>
      </c>
      <c r="N568" s="239">
        <v>6074.92</v>
      </c>
      <c r="O568" s="239"/>
      <c r="Q568" s="221">
        <v>10</v>
      </c>
      <c r="R568" s="112">
        <f t="shared" si="53"/>
        <v>50.616000000000007</v>
      </c>
      <c r="S568" s="223">
        <f t="shared" si="55"/>
        <v>3593.7360000000003</v>
      </c>
      <c r="T568" s="223">
        <f t="shared" si="54"/>
        <v>2481.1839999999997</v>
      </c>
      <c r="U568" s="221">
        <v>11040</v>
      </c>
      <c r="V568" s="233"/>
      <c r="W568" s="223"/>
      <c r="X568" s="196">
        <f t="shared" si="52"/>
        <v>71</v>
      </c>
    </row>
    <row r="569" spans="1:24" s="221" customFormat="1" ht="31.5">
      <c r="A569" s="221" t="s">
        <v>1306</v>
      </c>
      <c r="B569" s="195" t="s">
        <v>1302</v>
      </c>
      <c r="D569" s="221" t="s">
        <v>1301</v>
      </c>
      <c r="E569" s="226"/>
      <c r="F569" s="226" t="s">
        <v>908</v>
      </c>
      <c r="G569" s="220" t="str">
        <f t="shared" si="51"/>
        <v>23/5/2008</v>
      </c>
      <c r="H569" s="221">
        <v>23</v>
      </c>
      <c r="I569" s="221">
        <v>5</v>
      </c>
      <c r="J569" s="221">
        <v>2008</v>
      </c>
      <c r="K569" s="221" t="s">
        <v>184</v>
      </c>
      <c r="L569" s="226"/>
      <c r="M569" s="221" t="s">
        <v>869</v>
      </c>
      <c r="N569" s="239">
        <v>6074.92</v>
      </c>
      <c r="O569" s="239"/>
      <c r="Q569" s="221">
        <v>10</v>
      </c>
      <c r="R569" s="112">
        <f t="shared" si="53"/>
        <v>50.616000000000007</v>
      </c>
      <c r="S569" s="223">
        <f t="shared" si="55"/>
        <v>3593.7360000000003</v>
      </c>
      <c r="T569" s="223">
        <f t="shared" si="54"/>
        <v>2481.1839999999997</v>
      </c>
      <c r="U569" s="221">
        <v>11040</v>
      </c>
      <c r="V569" s="233"/>
      <c r="W569" s="223"/>
      <c r="X569" s="196">
        <f t="shared" si="52"/>
        <v>71</v>
      </c>
    </row>
    <row r="570" spans="1:24" s="221" customFormat="1" ht="31.5">
      <c r="A570" s="221" t="s">
        <v>1305</v>
      </c>
      <c r="B570" s="195" t="s">
        <v>1302</v>
      </c>
      <c r="D570" s="221" t="s">
        <v>1301</v>
      </c>
      <c r="E570" s="226"/>
      <c r="F570" s="226" t="s">
        <v>908</v>
      </c>
      <c r="G570" s="220" t="str">
        <f t="shared" si="51"/>
        <v>23/5/2008</v>
      </c>
      <c r="H570" s="221">
        <v>23</v>
      </c>
      <c r="I570" s="221">
        <v>5</v>
      </c>
      <c r="J570" s="221">
        <v>2008</v>
      </c>
      <c r="K570" s="221" t="s">
        <v>184</v>
      </c>
      <c r="L570" s="226"/>
      <c r="M570" s="221" t="s">
        <v>869</v>
      </c>
      <c r="N570" s="239">
        <v>6074.92</v>
      </c>
      <c r="O570" s="239"/>
      <c r="Q570" s="221">
        <v>10</v>
      </c>
      <c r="R570" s="112">
        <f t="shared" si="53"/>
        <v>50.616000000000007</v>
      </c>
      <c r="S570" s="223">
        <f t="shared" si="55"/>
        <v>3593.7360000000003</v>
      </c>
      <c r="T570" s="223">
        <f t="shared" si="54"/>
        <v>2481.1839999999997</v>
      </c>
      <c r="U570" s="221">
        <v>11040</v>
      </c>
      <c r="V570" s="233"/>
      <c r="W570" s="223"/>
      <c r="X570" s="196">
        <f t="shared" si="52"/>
        <v>71</v>
      </c>
    </row>
    <row r="571" spans="1:24" s="221" customFormat="1" ht="31.5">
      <c r="A571" s="221" t="s">
        <v>1304</v>
      </c>
      <c r="B571" s="195" t="s">
        <v>1302</v>
      </c>
      <c r="D571" s="221" t="s">
        <v>1301</v>
      </c>
      <c r="E571" s="226"/>
      <c r="F571" s="226" t="s">
        <v>908</v>
      </c>
      <c r="G571" s="220" t="str">
        <f t="shared" si="51"/>
        <v>23/5/2008</v>
      </c>
      <c r="H571" s="221">
        <v>23</v>
      </c>
      <c r="I571" s="221">
        <v>5</v>
      </c>
      <c r="J571" s="221">
        <v>2008</v>
      </c>
      <c r="K571" s="221" t="s">
        <v>184</v>
      </c>
      <c r="L571" s="226"/>
      <c r="M571" s="221" t="s">
        <v>869</v>
      </c>
      <c r="N571" s="239">
        <v>6074.92</v>
      </c>
      <c r="O571" s="239"/>
      <c r="Q571" s="221">
        <v>10</v>
      </c>
      <c r="R571" s="112">
        <f t="shared" si="53"/>
        <v>50.616000000000007</v>
      </c>
      <c r="S571" s="223">
        <f t="shared" si="55"/>
        <v>3593.7360000000003</v>
      </c>
      <c r="T571" s="223">
        <f t="shared" si="54"/>
        <v>2481.1839999999997</v>
      </c>
      <c r="U571" s="221">
        <v>11040</v>
      </c>
      <c r="V571" s="233"/>
      <c r="W571" s="223"/>
      <c r="X571" s="196">
        <f t="shared" si="52"/>
        <v>71</v>
      </c>
    </row>
    <row r="572" spans="1:24" s="221" customFormat="1" ht="31.5">
      <c r="A572" s="221" t="s">
        <v>1303</v>
      </c>
      <c r="B572" s="195" t="s">
        <v>1302</v>
      </c>
      <c r="D572" s="221" t="s">
        <v>1301</v>
      </c>
      <c r="E572" s="226"/>
      <c r="F572" s="226" t="s">
        <v>908</v>
      </c>
      <c r="G572" s="220" t="str">
        <f t="shared" si="51"/>
        <v>23/5/2008</v>
      </c>
      <c r="H572" s="221">
        <v>23</v>
      </c>
      <c r="I572" s="221">
        <v>5</v>
      </c>
      <c r="J572" s="221">
        <v>2008</v>
      </c>
      <c r="K572" s="221" t="s">
        <v>184</v>
      </c>
      <c r="L572" s="226"/>
      <c r="M572" s="221" t="s">
        <v>869</v>
      </c>
      <c r="N572" s="239">
        <v>6074.92</v>
      </c>
      <c r="O572" s="239"/>
      <c r="Q572" s="221">
        <v>10</v>
      </c>
      <c r="R572" s="112">
        <f t="shared" si="53"/>
        <v>50.616000000000007</v>
      </c>
      <c r="S572" s="223">
        <f t="shared" si="55"/>
        <v>3593.7360000000003</v>
      </c>
      <c r="T572" s="223">
        <f t="shared" si="54"/>
        <v>2481.1839999999997</v>
      </c>
      <c r="U572" s="221">
        <v>11040</v>
      </c>
      <c r="V572" s="233"/>
      <c r="W572" s="223"/>
      <c r="X572" s="196">
        <f t="shared" si="52"/>
        <v>71</v>
      </c>
    </row>
    <row r="573" spans="1:24" s="221" customFormat="1">
      <c r="A573" s="221" t="s">
        <v>1300</v>
      </c>
      <c r="B573" s="195" t="s">
        <v>1236</v>
      </c>
      <c r="E573" s="226"/>
      <c r="F573" s="226" t="s">
        <v>908</v>
      </c>
      <c r="G573" s="220" t="str">
        <f t="shared" si="51"/>
        <v>23/5/2008</v>
      </c>
      <c r="H573" s="221">
        <v>23</v>
      </c>
      <c r="I573" s="221">
        <v>5</v>
      </c>
      <c r="J573" s="221">
        <v>2008</v>
      </c>
      <c r="K573" s="221" t="s">
        <v>184</v>
      </c>
      <c r="L573" s="226"/>
      <c r="M573" s="221" t="s">
        <v>869</v>
      </c>
      <c r="N573" s="239">
        <v>23.2</v>
      </c>
      <c r="O573" s="239"/>
      <c r="Q573" s="221">
        <v>10</v>
      </c>
      <c r="R573" s="112">
        <f t="shared" si="53"/>
        <v>0.18499999999999997</v>
      </c>
      <c r="S573" s="223">
        <f t="shared" si="55"/>
        <v>13.134999999999998</v>
      </c>
      <c r="T573" s="223">
        <f t="shared" si="54"/>
        <v>10.065000000000001</v>
      </c>
      <c r="U573" s="221">
        <v>11040</v>
      </c>
      <c r="V573" s="233"/>
      <c r="W573" s="223"/>
      <c r="X573" s="196">
        <f t="shared" si="52"/>
        <v>71</v>
      </c>
    </row>
    <row r="574" spans="1:24" s="221" customFormat="1">
      <c r="A574" s="221" t="s">
        <v>1299</v>
      </c>
      <c r="B574" s="195" t="s">
        <v>1236</v>
      </c>
      <c r="E574" s="226"/>
      <c r="F574" s="226" t="s">
        <v>908</v>
      </c>
      <c r="G574" s="220" t="str">
        <f t="shared" si="51"/>
        <v>23/5/2008</v>
      </c>
      <c r="H574" s="221">
        <v>23</v>
      </c>
      <c r="I574" s="221">
        <v>5</v>
      </c>
      <c r="J574" s="221">
        <v>2008</v>
      </c>
      <c r="K574" s="221" t="s">
        <v>184</v>
      </c>
      <c r="L574" s="226"/>
      <c r="M574" s="221" t="s">
        <v>869</v>
      </c>
      <c r="N574" s="239">
        <v>23.2</v>
      </c>
      <c r="O574" s="239"/>
      <c r="Q574" s="221">
        <v>10</v>
      </c>
      <c r="R574" s="112">
        <f t="shared" si="53"/>
        <v>0.18499999999999997</v>
      </c>
      <c r="S574" s="223">
        <f t="shared" si="55"/>
        <v>13.134999999999998</v>
      </c>
      <c r="T574" s="223">
        <f t="shared" si="54"/>
        <v>10.065000000000001</v>
      </c>
      <c r="U574" s="221">
        <v>11040</v>
      </c>
      <c r="V574" s="233"/>
      <c r="W574" s="223"/>
      <c r="X574" s="196">
        <f t="shared" si="52"/>
        <v>71</v>
      </c>
    </row>
    <row r="575" spans="1:24" s="221" customFormat="1">
      <c r="A575" s="221" t="s">
        <v>1298</v>
      </c>
      <c r="B575" s="195" t="s">
        <v>1236</v>
      </c>
      <c r="E575" s="226"/>
      <c r="F575" s="226" t="s">
        <v>908</v>
      </c>
      <c r="G575" s="220" t="str">
        <f t="shared" si="51"/>
        <v>23/5/2008</v>
      </c>
      <c r="H575" s="221">
        <v>23</v>
      </c>
      <c r="I575" s="221">
        <v>5</v>
      </c>
      <c r="J575" s="221">
        <v>2008</v>
      </c>
      <c r="K575" s="221" t="s">
        <v>184</v>
      </c>
      <c r="L575" s="226"/>
      <c r="M575" s="221" t="s">
        <v>869</v>
      </c>
      <c r="N575" s="239">
        <v>23.2</v>
      </c>
      <c r="O575" s="239"/>
      <c r="Q575" s="221">
        <v>10</v>
      </c>
      <c r="R575" s="112">
        <f t="shared" si="53"/>
        <v>0.18499999999999997</v>
      </c>
      <c r="S575" s="223">
        <f t="shared" si="55"/>
        <v>13.134999999999998</v>
      </c>
      <c r="T575" s="223">
        <f t="shared" si="54"/>
        <v>10.065000000000001</v>
      </c>
      <c r="U575" s="221">
        <v>11040</v>
      </c>
      <c r="V575" s="233"/>
      <c r="W575" s="223"/>
      <c r="X575" s="196">
        <f t="shared" si="52"/>
        <v>71</v>
      </c>
    </row>
    <row r="576" spans="1:24" s="221" customFormat="1">
      <c r="A576" s="221" t="s">
        <v>1297</v>
      </c>
      <c r="B576" s="195" t="s">
        <v>1236</v>
      </c>
      <c r="E576" s="226"/>
      <c r="F576" s="226" t="s">
        <v>908</v>
      </c>
      <c r="G576" s="220" t="str">
        <f t="shared" si="51"/>
        <v>23/5/2008</v>
      </c>
      <c r="H576" s="221">
        <v>23</v>
      </c>
      <c r="I576" s="221">
        <v>5</v>
      </c>
      <c r="J576" s="221">
        <v>2008</v>
      </c>
      <c r="K576" s="221" t="s">
        <v>184</v>
      </c>
      <c r="L576" s="226"/>
      <c r="M576" s="221" t="s">
        <v>869</v>
      </c>
      <c r="N576" s="239">
        <v>23.2</v>
      </c>
      <c r="O576" s="239"/>
      <c r="Q576" s="221">
        <v>10</v>
      </c>
      <c r="R576" s="112">
        <f t="shared" si="53"/>
        <v>0.18499999999999997</v>
      </c>
      <c r="S576" s="223">
        <f t="shared" si="55"/>
        <v>13.134999999999998</v>
      </c>
      <c r="T576" s="223">
        <f t="shared" si="54"/>
        <v>10.065000000000001</v>
      </c>
      <c r="U576" s="221">
        <v>11040</v>
      </c>
      <c r="V576" s="233"/>
      <c r="W576" s="223"/>
      <c r="X576" s="196">
        <f t="shared" si="52"/>
        <v>71</v>
      </c>
    </row>
    <row r="577" spans="1:24" s="221" customFormat="1">
      <c r="A577" s="221" t="s">
        <v>1296</v>
      </c>
      <c r="B577" s="195" t="s">
        <v>1236</v>
      </c>
      <c r="E577" s="226"/>
      <c r="F577" s="226" t="s">
        <v>908</v>
      </c>
      <c r="G577" s="220" t="str">
        <f t="shared" si="51"/>
        <v>23/5/2008</v>
      </c>
      <c r="H577" s="221">
        <v>23</v>
      </c>
      <c r="I577" s="221">
        <v>5</v>
      </c>
      <c r="J577" s="221">
        <v>2008</v>
      </c>
      <c r="K577" s="221" t="s">
        <v>184</v>
      </c>
      <c r="L577" s="226"/>
      <c r="M577" s="221" t="s">
        <v>869</v>
      </c>
      <c r="N577" s="239">
        <v>23.2</v>
      </c>
      <c r="O577" s="239"/>
      <c r="Q577" s="221">
        <v>10</v>
      </c>
      <c r="R577" s="112">
        <f t="shared" si="53"/>
        <v>0.18499999999999997</v>
      </c>
      <c r="S577" s="223">
        <f t="shared" si="55"/>
        <v>13.134999999999998</v>
      </c>
      <c r="T577" s="223">
        <f t="shared" si="54"/>
        <v>10.065000000000001</v>
      </c>
      <c r="U577" s="221">
        <v>11040</v>
      </c>
      <c r="V577" s="233"/>
      <c r="W577" s="223"/>
      <c r="X577" s="196">
        <f t="shared" si="52"/>
        <v>71</v>
      </c>
    </row>
    <row r="578" spans="1:24" s="221" customFormat="1">
      <c r="A578" s="221" t="s">
        <v>1295</v>
      </c>
      <c r="B578" s="195" t="s">
        <v>1236</v>
      </c>
      <c r="E578" s="226"/>
      <c r="F578" s="226" t="s">
        <v>908</v>
      </c>
      <c r="G578" s="220" t="str">
        <f t="shared" si="51"/>
        <v>23/5/2008</v>
      </c>
      <c r="H578" s="221">
        <v>23</v>
      </c>
      <c r="I578" s="221">
        <v>5</v>
      </c>
      <c r="J578" s="221">
        <v>2008</v>
      </c>
      <c r="K578" s="221" t="s">
        <v>184</v>
      </c>
      <c r="L578" s="226"/>
      <c r="M578" s="221" t="s">
        <v>869</v>
      </c>
      <c r="N578" s="239">
        <v>23.2</v>
      </c>
      <c r="O578" s="239"/>
      <c r="Q578" s="221">
        <v>10</v>
      </c>
      <c r="R578" s="112">
        <f t="shared" si="53"/>
        <v>0.18499999999999997</v>
      </c>
      <c r="S578" s="223">
        <f t="shared" si="55"/>
        <v>13.134999999999998</v>
      </c>
      <c r="T578" s="223">
        <f t="shared" si="54"/>
        <v>10.065000000000001</v>
      </c>
      <c r="U578" s="221">
        <v>11040</v>
      </c>
      <c r="V578" s="233"/>
      <c r="W578" s="223"/>
      <c r="X578" s="196">
        <f t="shared" si="52"/>
        <v>71</v>
      </c>
    </row>
    <row r="579" spans="1:24" s="221" customFormat="1">
      <c r="A579" s="221" t="s">
        <v>1294</v>
      </c>
      <c r="B579" s="195" t="s">
        <v>1236</v>
      </c>
      <c r="E579" s="226"/>
      <c r="F579" s="226" t="s">
        <v>908</v>
      </c>
      <c r="G579" s="220" t="str">
        <f t="shared" si="51"/>
        <v>23/5/2008</v>
      </c>
      <c r="H579" s="221">
        <v>23</v>
      </c>
      <c r="I579" s="221">
        <v>5</v>
      </c>
      <c r="J579" s="221">
        <v>2008</v>
      </c>
      <c r="K579" s="221" t="s">
        <v>184</v>
      </c>
      <c r="L579" s="226"/>
      <c r="M579" s="221" t="s">
        <v>869</v>
      </c>
      <c r="N579" s="239">
        <v>23.2</v>
      </c>
      <c r="O579" s="239"/>
      <c r="Q579" s="221">
        <v>10</v>
      </c>
      <c r="R579" s="112">
        <f t="shared" si="53"/>
        <v>0.18499999999999997</v>
      </c>
      <c r="S579" s="223">
        <f t="shared" si="55"/>
        <v>13.134999999999998</v>
      </c>
      <c r="T579" s="223">
        <f t="shared" si="54"/>
        <v>10.065000000000001</v>
      </c>
      <c r="U579" s="221">
        <v>11040</v>
      </c>
      <c r="V579" s="233"/>
      <c r="W579" s="223"/>
      <c r="X579" s="196">
        <f t="shared" si="52"/>
        <v>71</v>
      </c>
    </row>
    <row r="580" spans="1:24" s="221" customFormat="1">
      <c r="A580" s="221" t="s">
        <v>1293</v>
      </c>
      <c r="B580" s="195" t="s">
        <v>1236</v>
      </c>
      <c r="E580" s="226"/>
      <c r="F580" s="226" t="s">
        <v>908</v>
      </c>
      <c r="G580" s="220" t="str">
        <f t="shared" si="51"/>
        <v>23/5/2008</v>
      </c>
      <c r="H580" s="221">
        <v>23</v>
      </c>
      <c r="I580" s="221">
        <v>5</v>
      </c>
      <c r="J580" s="221">
        <v>2008</v>
      </c>
      <c r="K580" s="221" t="s">
        <v>184</v>
      </c>
      <c r="L580" s="226"/>
      <c r="M580" s="221" t="s">
        <v>869</v>
      </c>
      <c r="N580" s="239">
        <v>23.2</v>
      </c>
      <c r="O580" s="239"/>
      <c r="Q580" s="221">
        <v>10</v>
      </c>
      <c r="R580" s="112">
        <f t="shared" si="53"/>
        <v>0.18499999999999997</v>
      </c>
      <c r="S580" s="223">
        <f t="shared" si="55"/>
        <v>13.134999999999998</v>
      </c>
      <c r="T580" s="223">
        <f t="shared" si="54"/>
        <v>10.065000000000001</v>
      </c>
      <c r="U580" s="221">
        <v>11040</v>
      </c>
      <c r="V580" s="233"/>
      <c r="W580" s="223"/>
      <c r="X580" s="196">
        <f t="shared" si="52"/>
        <v>71</v>
      </c>
    </row>
    <row r="581" spans="1:24" s="221" customFormat="1">
      <c r="A581" s="221" t="s">
        <v>1292</v>
      </c>
      <c r="B581" s="195" t="s">
        <v>1236</v>
      </c>
      <c r="E581" s="226"/>
      <c r="F581" s="226" t="s">
        <v>908</v>
      </c>
      <c r="G581" s="220" t="str">
        <f t="shared" si="51"/>
        <v>23/5/2008</v>
      </c>
      <c r="H581" s="221">
        <v>23</v>
      </c>
      <c r="I581" s="221">
        <v>5</v>
      </c>
      <c r="J581" s="221">
        <v>2008</v>
      </c>
      <c r="K581" s="221" t="s">
        <v>184</v>
      </c>
      <c r="L581" s="226"/>
      <c r="M581" s="221" t="s">
        <v>869</v>
      </c>
      <c r="N581" s="239">
        <v>23.2</v>
      </c>
      <c r="O581" s="239"/>
      <c r="Q581" s="221">
        <v>10</v>
      </c>
      <c r="R581" s="112">
        <f t="shared" si="53"/>
        <v>0.18499999999999997</v>
      </c>
      <c r="S581" s="223">
        <f t="shared" si="55"/>
        <v>13.134999999999998</v>
      </c>
      <c r="T581" s="223">
        <f t="shared" si="54"/>
        <v>10.065000000000001</v>
      </c>
      <c r="U581" s="221">
        <v>11040</v>
      </c>
      <c r="V581" s="233"/>
      <c r="W581" s="223"/>
      <c r="X581" s="196">
        <f t="shared" si="52"/>
        <v>71</v>
      </c>
    </row>
    <row r="582" spans="1:24" s="221" customFormat="1">
      <c r="A582" s="221" t="s">
        <v>1291</v>
      </c>
      <c r="B582" s="195" t="s">
        <v>1236</v>
      </c>
      <c r="E582" s="226"/>
      <c r="F582" s="226" t="s">
        <v>908</v>
      </c>
      <c r="G582" s="220" t="str">
        <f t="shared" si="51"/>
        <v>23/5/2008</v>
      </c>
      <c r="H582" s="221">
        <v>23</v>
      </c>
      <c r="I582" s="221">
        <v>5</v>
      </c>
      <c r="J582" s="221">
        <v>2008</v>
      </c>
      <c r="K582" s="221" t="s">
        <v>184</v>
      </c>
      <c r="L582" s="226"/>
      <c r="M582" s="221" t="s">
        <v>869</v>
      </c>
      <c r="N582" s="239">
        <v>23.2</v>
      </c>
      <c r="O582" s="239"/>
      <c r="Q582" s="221">
        <v>10</v>
      </c>
      <c r="R582" s="112">
        <f t="shared" si="53"/>
        <v>0.18499999999999997</v>
      </c>
      <c r="S582" s="223">
        <f t="shared" si="55"/>
        <v>13.134999999999998</v>
      </c>
      <c r="T582" s="223">
        <f t="shared" si="54"/>
        <v>10.065000000000001</v>
      </c>
      <c r="U582" s="221">
        <v>11040</v>
      </c>
      <c r="V582" s="233"/>
      <c r="W582" s="223"/>
      <c r="X582" s="196">
        <f t="shared" si="52"/>
        <v>71</v>
      </c>
    </row>
    <row r="583" spans="1:24" s="221" customFormat="1">
      <c r="A583" s="221" t="s">
        <v>1290</v>
      </c>
      <c r="B583" s="195" t="s">
        <v>1236</v>
      </c>
      <c r="E583" s="226"/>
      <c r="F583" s="226" t="s">
        <v>908</v>
      </c>
      <c r="G583" s="220" t="str">
        <f t="shared" ref="G583:G646" si="56">CONCATENATE(H583,"/",I583,"/",J583,)</f>
        <v>23/5/2008</v>
      </c>
      <c r="H583" s="221">
        <v>23</v>
      </c>
      <c r="I583" s="221">
        <v>5</v>
      </c>
      <c r="J583" s="221">
        <v>2008</v>
      </c>
      <c r="K583" s="221" t="s">
        <v>184</v>
      </c>
      <c r="L583" s="226"/>
      <c r="M583" s="221" t="s">
        <v>869</v>
      </c>
      <c r="N583" s="239">
        <v>23.2</v>
      </c>
      <c r="O583" s="239"/>
      <c r="Q583" s="221">
        <v>10</v>
      </c>
      <c r="R583" s="112">
        <f t="shared" si="53"/>
        <v>0.18499999999999997</v>
      </c>
      <c r="S583" s="223">
        <f t="shared" si="55"/>
        <v>13.134999999999998</v>
      </c>
      <c r="T583" s="223">
        <f t="shared" si="54"/>
        <v>10.065000000000001</v>
      </c>
      <c r="U583" s="221">
        <v>11040</v>
      </c>
      <c r="V583" s="233"/>
      <c r="W583" s="223"/>
      <c r="X583" s="196">
        <f t="shared" ref="X583:X646" si="57">IF((DATEDIF(G583,X$4,"m"))&gt;=120,120,(DATEDIF(G583,X$4,"m")))</f>
        <v>71</v>
      </c>
    </row>
    <row r="584" spans="1:24" s="221" customFormat="1">
      <c r="A584" s="221" t="s">
        <v>1289</v>
      </c>
      <c r="B584" s="195" t="s">
        <v>1236</v>
      </c>
      <c r="E584" s="226"/>
      <c r="F584" s="226" t="s">
        <v>908</v>
      </c>
      <c r="G584" s="220" t="str">
        <f t="shared" si="56"/>
        <v>23/5/2008</v>
      </c>
      <c r="H584" s="221">
        <v>23</v>
      </c>
      <c r="I584" s="221">
        <v>5</v>
      </c>
      <c r="J584" s="221">
        <v>2008</v>
      </c>
      <c r="K584" s="221" t="s">
        <v>184</v>
      </c>
      <c r="L584" s="226"/>
      <c r="M584" s="221" t="s">
        <v>869</v>
      </c>
      <c r="N584" s="239">
        <v>23.2</v>
      </c>
      <c r="O584" s="239"/>
      <c r="Q584" s="221">
        <v>10</v>
      </c>
      <c r="R584" s="112">
        <f t="shared" si="53"/>
        <v>0.18499999999999997</v>
      </c>
      <c r="S584" s="223">
        <f t="shared" si="55"/>
        <v>13.134999999999998</v>
      </c>
      <c r="T584" s="223">
        <f t="shared" si="54"/>
        <v>10.065000000000001</v>
      </c>
      <c r="U584" s="221">
        <v>11040</v>
      </c>
      <c r="V584" s="233"/>
      <c r="W584" s="223"/>
      <c r="X584" s="196">
        <f t="shared" si="57"/>
        <v>71</v>
      </c>
    </row>
    <row r="585" spans="1:24" s="221" customFormat="1">
      <c r="A585" s="221" t="s">
        <v>1288</v>
      </c>
      <c r="B585" s="195" t="s">
        <v>1236</v>
      </c>
      <c r="E585" s="226"/>
      <c r="F585" s="226" t="s">
        <v>908</v>
      </c>
      <c r="G585" s="220" t="str">
        <f t="shared" si="56"/>
        <v>23/5/2008</v>
      </c>
      <c r="H585" s="221">
        <v>23</v>
      </c>
      <c r="I585" s="221">
        <v>5</v>
      </c>
      <c r="J585" s="221">
        <v>2008</v>
      </c>
      <c r="K585" s="221" t="s">
        <v>184</v>
      </c>
      <c r="L585" s="226"/>
      <c r="M585" s="221" t="s">
        <v>869</v>
      </c>
      <c r="N585" s="239">
        <v>23.2</v>
      </c>
      <c r="O585" s="239"/>
      <c r="Q585" s="221">
        <v>10</v>
      </c>
      <c r="R585" s="112">
        <f t="shared" ref="R585:R648" si="58">(((N585)-1)/10)/12</f>
        <v>0.18499999999999997</v>
      </c>
      <c r="S585" s="223">
        <f t="shared" si="55"/>
        <v>13.134999999999998</v>
      </c>
      <c r="T585" s="223">
        <f t="shared" si="54"/>
        <v>10.065000000000001</v>
      </c>
      <c r="U585" s="221">
        <v>11040</v>
      </c>
      <c r="V585" s="233"/>
      <c r="W585" s="223"/>
      <c r="X585" s="196">
        <f t="shared" si="57"/>
        <v>71</v>
      </c>
    </row>
    <row r="586" spans="1:24" s="221" customFormat="1">
      <c r="A586" s="221" t="s">
        <v>1287</v>
      </c>
      <c r="B586" s="195" t="s">
        <v>1236</v>
      </c>
      <c r="E586" s="226"/>
      <c r="F586" s="226" t="s">
        <v>908</v>
      </c>
      <c r="G586" s="220" t="str">
        <f t="shared" si="56"/>
        <v>23/5/2008</v>
      </c>
      <c r="H586" s="221">
        <v>23</v>
      </c>
      <c r="I586" s="221">
        <v>5</v>
      </c>
      <c r="J586" s="221">
        <v>2008</v>
      </c>
      <c r="K586" s="221" t="s">
        <v>184</v>
      </c>
      <c r="L586" s="226"/>
      <c r="M586" s="221" t="s">
        <v>869</v>
      </c>
      <c r="N586" s="239">
        <v>23.2</v>
      </c>
      <c r="O586" s="239"/>
      <c r="Q586" s="221">
        <v>10</v>
      </c>
      <c r="R586" s="112">
        <f t="shared" si="58"/>
        <v>0.18499999999999997</v>
      </c>
      <c r="S586" s="223">
        <f t="shared" si="55"/>
        <v>13.134999999999998</v>
      </c>
      <c r="T586" s="223">
        <f t="shared" ref="T586:T649" si="59">N586-S586</f>
        <v>10.065000000000001</v>
      </c>
      <c r="U586" s="221">
        <v>11040</v>
      </c>
      <c r="V586" s="233"/>
      <c r="W586" s="223"/>
      <c r="X586" s="196">
        <f t="shared" si="57"/>
        <v>71</v>
      </c>
    </row>
    <row r="587" spans="1:24" s="221" customFormat="1">
      <c r="A587" s="221" t="s">
        <v>1286</v>
      </c>
      <c r="B587" s="195" t="s">
        <v>1236</v>
      </c>
      <c r="E587" s="226"/>
      <c r="F587" s="226" t="s">
        <v>908</v>
      </c>
      <c r="G587" s="220" t="str">
        <f t="shared" si="56"/>
        <v>23/5/2008</v>
      </c>
      <c r="H587" s="221">
        <v>23</v>
      </c>
      <c r="I587" s="221">
        <v>5</v>
      </c>
      <c r="J587" s="221">
        <v>2008</v>
      </c>
      <c r="K587" s="221" t="s">
        <v>184</v>
      </c>
      <c r="L587" s="226"/>
      <c r="M587" s="221" t="s">
        <v>869</v>
      </c>
      <c r="N587" s="239">
        <v>23.2</v>
      </c>
      <c r="O587" s="239"/>
      <c r="Q587" s="221">
        <v>10</v>
      </c>
      <c r="R587" s="112">
        <f t="shared" si="58"/>
        <v>0.18499999999999997</v>
      </c>
      <c r="S587" s="223">
        <f t="shared" si="55"/>
        <v>13.134999999999998</v>
      </c>
      <c r="T587" s="223">
        <f t="shared" si="59"/>
        <v>10.065000000000001</v>
      </c>
      <c r="U587" s="221">
        <v>11040</v>
      </c>
      <c r="V587" s="233"/>
      <c r="W587" s="223"/>
      <c r="X587" s="196">
        <f t="shared" si="57"/>
        <v>71</v>
      </c>
    </row>
    <row r="588" spans="1:24" s="221" customFormat="1">
      <c r="A588" s="221" t="s">
        <v>1285</v>
      </c>
      <c r="B588" s="195" t="s">
        <v>1236</v>
      </c>
      <c r="E588" s="226"/>
      <c r="F588" s="226" t="s">
        <v>908</v>
      </c>
      <c r="G588" s="220" t="str">
        <f t="shared" si="56"/>
        <v>23/5/2008</v>
      </c>
      <c r="H588" s="221">
        <v>23</v>
      </c>
      <c r="I588" s="221">
        <v>5</v>
      </c>
      <c r="J588" s="221">
        <v>2008</v>
      </c>
      <c r="K588" s="221" t="s">
        <v>184</v>
      </c>
      <c r="L588" s="226"/>
      <c r="M588" s="221" t="s">
        <v>869</v>
      </c>
      <c r="N588" s="239">
        <v>23.2</v>
      </c>
      <c r="O588" s="239"/>
      <c r="Q588" s="221">
        <v>10</v>
      </c>
      <c r="R588" s="112">
        <f t="shared" si="58"/>
        <v>0.18499999999999997</v>
      </c>
      <c r="S588" s="223">
        <f t="shared" si="55"/>
        <v>13.134999999999998</v>
      </c>
      <c r="T588" s="223">
        <f t="shared" si="59"/>
        <v>10.065000000000001</v>
      </c>
      <c r="U588" s="221">
        <v>11040</v>
      </c>
      <c r="V588" s="233"/>
      <c r="W588" s="223"/>
      <c r="X588" s="196">
        <f t="shared" si="57"/>
        <v>71</v>
      </c>
    </row>
    <row r="589" spans="1:24" s="221" customFormat="1">
      <c r="A589" s="221" t="s">
        <v>1284</v>
      </c>
      <c r="B589" s="195" t="s">
        <v>1236</v>
      </c>
      <c r="E589" s="226"/>
      <c r="F589" s="226" t="s">
        <v>908</v>
      </c>
      <c r="G589" s="220" t="str">
        <f t="shared" si="56"/>
        <v>23/5/2008</v>
      </c>
      <c r="H589" s="221">
        <v>23</v>
      </c>
      <c r="I589" s="221">
        <v>5</v>
      </c>
      <c r="J589" s="221">
        <v>2008</v>
      </c>
      <c r="K589" s="221" t="s">
        <v>184</v>
      </c>
      <c r="L589" s="226"/>
      <c r="M589" s="221" t="s">
        <v>869</v>
      </c>
      <c r="N589" s="239">
        <v>23.2</v>
      </c>
      <c r="O589" s="239"/>
      <c r="Q589" s="221">
        <v>10</v>
      </c>
      <c r="R589" s="112">
        <f t="shared" si="58"/>
        <v>0.18499999999999997</v>
      </c>
      <c r="S589" s="223">
        <f t="shared" si="55"/>
        <v>13.134999999999998</v>
      </c>
      <c r="T589" s="223">
        <f t="shared" si="59"/>
        <v>10.065000000000001</v>
      </c>
      <c r="U589" s="221">
        <v>11040</v>
      </c>
      <c r="V589" s="233"/>
      <c r="W589" s="223"/>
      <c r="X589" s="196">
        <f t="shared" si="57"/>
        <v>71</v>
      </c>
    </row>
    <row r="590" spans="1:24" s="221" customFormat="1">
      <c r="A590" s="221" t="s">
        <v>1283</v>
      </c>
      <c r="B590" s="195" t="s">
        <v>1236</v>
      </c>
      <c r="E590" s="226"/>
      <c r="F590" s="226" t="s">
        <v>908</v>
      </c>
      <c r="G590" s="220" t="str">
        <f t="shared" si="56"/>
        <v>23/5/2008</v>
      </c>
      <c r="H590" s="221">
        <v>23</v>
      </c>
      <c r="I590" s="221">
        <v>5</v>
      </c>
      <c r="J590" s="221">
        <v>2008</v>
      </c>
      <c r="K590" s="221" t="s">
        <v>184</v>
      </c>
      <c r="L590" s="226"/>
      <c r="M590" s="221" t="s">
        <v>869</v>
      </c>
      <c r="N590" s="239">
        <v>23.2</v>
      </c>
      <c r="O590" s="239"/>
      <c r="Q590" s="221">
        <v>10</v>
      </c>
      <c r="R590" s="112">
        <f t="shared" si="58"/>
        <v>0.18499999999999997</v>
      </c>
      <c r="S590" s="223">
        <f t="shared" si="55"/>
        <v>13.134999999999998</v>
      </c>
      <c r="T590" s="223">
        <f t="shared" si="59"/>
        <v>10.065000000000001</v>
      </c>
      <c r="U590" s="221">
        <v>11040</v>
      </c>
      <c r="V590" s="233"/>
      <c r="W590" s="223"/>
      <c r="X590" s="196">
        <f t="shared" si="57"/>
        <v>71</v>
      </c>
    </row>
    <row r="591" spans="1:24" s="221" customFormat="1">
      <c r="A591" s="221" t="s">
        <v>1282</v>
      </c>
      <c r="B591" s="195" t="s">
        <v>1236</v>
      </c>
      <c r="E591" s="226"/>
      <c r="F591" s="226" t="s">
        <v>908</v>
      </c>
      <c r="G591" s="220" t="str">
        <f t="shared" si="56"/>
        <v>23/5/2008</v>
      </c>
      <c r="H591" s="221">
        <v>23</v>
      </c>
      <c r="I591" s="221">
        <v>5</v>
      </c>
      <c r="J591" s="221">
        <v>2008</v>
      </c>
      <c r="K591" s="221" t="s">
        <v>184</v>
      </c>
      <c r="L591" s="226"/>
      <c r="M591" s="221" t="s">
        <v>869</v>
      </c>
      <c r="N591" s="239">
        <v>23.2</v>
      </c>
      <c r="O591" s="239"/>
      <c r="Q591" s="221">
        <v>10</v>
      </c>
      <c r="R591" s="112">
        <f t="shared" si="58"/>
        <v>0.18499999999999997</v>
      </c>
      <c r="S591" s="223">
        <f t="shared" si="55"/>
        <v>13.134999999999998</v>
      </c>
      <c r="T591" s="223">
        <f t="shared" si="59"/>
        <v>10.065000000000001</v>
      </c>
      <c r="U591" s="221">
        <v>11040</v>
      </c>
      <c r="V591" s="233"/>
      <c r="W591" s="223"/>
      <c r="X591" s="196">
        <f t="shared" si="57"/>
        <v>71</v>
      </c>
    </row>
    <row r="592" spans="1:24" s="221" customFormat="1">
      <c r="A592" s="221" t="s">
        <v>1281</v>
      </c>
      <c r="B592" s="195" t="s">
        <v>1236</v>
      </c>
      <c r="E592" s="226"/>
      <c r="F592" s="226" t="s">
        <v>908</v>
      </c>
      <c r="G592" s="220" t="str">
        <f t="shared" si="56"/>
        <v>23/5/2008</v>
      </c>
      <c r="H592" s="221">
        <v>23</v>
      </c>
      <c r="I592" s="221">
        <v>5</v>
      </c>
      <c r="J592" s="221">
        <v>2008</v>
      </c>
      <c r="K592" s="221" t="s">
        <v>184</v>
      </c>
      <c r="L592" s="226"/>
      <c r="M592" s="221" t="s">
        <v>869</v>
      </c>
      <c r="N592" s="239">
        <v>23.2</v>
      </c>
      <c r="O592" s="239"/>
      <c r="Q592" s="221">
        <v>10</v>
      </c>
      <c r="R592" s="112">
        <f t="shared" si="58"/>
        <v>0.18499999999999997</v>
      </c>
      <c r="S592" s="223">
        <f t="shared" si="55"/>
        <v>13.134999999999998</v>
      </c>
      <c r="T592" s="223">
        <f t="shared" si="59"/>
        <v>10.065000000000001</v>
      </c>
      <c r="U592" s="221">
        <v>11040</v>
      </c>
      <c r="V592" s="233"/>
      <c r="W592" s="223"/>
      <c r="X592" s="196">
        <f t="shared" si="57"/>
        <v>71</v>
      </c>
    </row>
    <row r="593" spans="1:24" s="221" customFormat="1">
      <c r="A593" s="221" t="s">
        <v>1280</v>
      </c>
      <c r="B593" s="195" t="s">
        <v>1236</v>
      </c>
      <c r="E593" s="226"/>
      <c r="F593" s="226" t="s">
        <v>908</v>
      </c>
      <c r="G593" s="220" t="str">
        <f t="shared" si="56"/>
        <v>23/5/2008</v>
      </c>
      <c r="H593" s="221">
        <v>23</v>
      </c>
      <c r="I593" s="221">
        <v>5</v>
      </c>
      <c r="J593" s="221">
        <v>2008</v>
      </c>
      <c r="K593" s="221" t="s">
        <v>184</v>
      </c>
      <c r="L593" s="226"/>
      <c r="M593" s="221" t="s">
        <v>869</v>
      </c>
      <c r="N593" s="239">
        <v>23.2</v>
      </c>
      <c r="O593" s="239"/>
      <c r="Q593" s="221">
        <v>10</v>
      </c>
      <c r="R593" s="112">
        <f t="shared" si="58"/>
        <v>0.18499999999999997</v>
      </c>
      <c r="S593" s="223">
        <f t="shared" si="55"/>
        <v>13.134999999999998</v>
      </c>
      <c r="T593" s="223">
        <f t="shared" si="59"/>
        <v>10.065000000000001</v>
      </c>
      <c r="U593" s="221">
        <v>11040</v>
      </c>
      <c r="V593" s="233"/>
      <c r="W593" s="223"/>
      <c r="X593" s="196">
        <f t="shared" si="57"/>
        <v>71</v>
      </c>
    </row>
    <row r="594" spans="1:24" s="221" customFormat="1">
      <c r="A594" s="221" t="s">
        <v>1279</v>
      </c>
      <c r="B594" s="195" t="s">
        <v>1236</v>
      </c>
      <c r="E594" s="226"/>
      <c r="F594" s="226" t="s">
        <v>908</v>
      </c>
      <c r="G594" s="220" t="str">
        <f t="shared" si="56"/>
        <v>23/5/2008</v>
      </c>
      <c r="H594" s="221">
        <v>23</v>
      </c>
      <c r="I594" s="221">
        <v>5</v>
      </c>
      <c r="J594" s="221">
        <v>2008</v>
      </c>
      <c r="K594" s="221" t="s">
        <v>184</v>
      </c>
      <c r="L594" s="226"/>
      <c r="M594" s="221" t="s">
        <v>869</v>
      </c>
      <c r="N594" s="239">
        <v>23.2</v>
      </c>
      <c r="O594" s="239"/>
      <c r="Q594" s="221">
        <v>10</v>
      </c>
      <c r="R594" s="112">
        <f t="shared" si="58"/>
        <v>0.18499999999999997</v>
      </c>
      <c r="S594" s="223">
        <f t="shared" si="55"/>
        <v>13.134999999999998</v>
      </c>
      <c r="T594" s="223">
        <f t="shared" si="59"/>
        <v>10.065000000000001</v>
      </c>
      <c r="U594" s="221">
        <v>11040</v>
      </c>
      <c r="V594" s="233"/>
      <c r="W594" s="223"/>
      <c r="X594" s="196">
        <f t="shared" si="57"/>
        <v>71</v>
      </c>
    </row>
    <row r="595" spans="1:24" s="221" customFormat="1">
      <c r="A595" s="221" t="s">
        <v>1278</v>
      </c>
      <c r="B595" s="195" t="s">
        <v>1236</v>
      </c>
      <c r="E595" s="226"/>
      <c r="F595" s="226" t="s">
        <v>908</v>
      </c>
      <c r="G595" s="220" t="str">
        <f t="shared" si="56"/>
        <v>23/5/2008</v>
      </c>
      <c r="H595" s="221">
        <v>23</v>
      </c>
      <c r="I595" s="221">
        <v>5</v>
      </c>
      <c r="J595" s="221">
        <v>2008</v>
      </c>
      <c r="K595" s="221" t="s">
        <v>184</v>
      </c>
      <c r="L595" s="226"/>
      <c r="M595" s="221" t="s">
        <v>869</v>
      </c>
      <c r="N595" s="239">
        <v>23.2</v>
      </c>
      <c r="O595" s="239"/>
      <c r="Q595" s="221">
        <v>10</v>
      </c>
      <c r="R595" s="112">
        <f t="shared" si="58"/>
        <v>0.18499999999999997</v>
      </c>
      <c r="S595" s="223">
        <f t="shared" si="55"/>
        <v>13.134999999999998</v>
      </c>
      <c r="T595" s="223">
        <f t="shared" si="59"/>
        <v>10.065000000000001</v>
      </c>
      <c r="U595" s="221">
        <v>11040</v>
      </c>
      <c r="V595" s="233"/>
      <c r="W595" s="223"/>
      <c r="X595" s="196">
        <f t="shared" si="57"/>
        <v>71</v>
      </c>
    </row>
    <row r="596" spans="1:24" s="221" customFormat="1">
      <c r="A596" s="221" t="s">
        <v>1277</v>
      </c>
      <c r="B596" s="195" t="s">
        <v>1236</v>
      </c>
      <c r="E596" s="226"/>
      <c r="F596" s="226" t="s">
        <v>908</v>
      </c>
      <c r="G596" s="220" t="str">
        <f t="shared" si="56"/>
        <v>23/5/2008</v>
      </c>
      <c r="H596" s="221">
        <v>23</v>
      </c>
      <c r="I596" s="221">
        <v>5</v>
      </c>
      <c r="J596" s="221">
        <v>2008</v>
      </c>
      <c r="K596" s="221" t="s">
        <v>184</v>
      </c>
      <c r="L596" s="226"/>
      <c r="M596" s="221" t="s">
        <v>869</v>
      </c>
      <c r="N596" s="239">
        <v>23.2</v>
      </c>
      <c r="O596" s="239"/>
      <c r="Q596" s="221">
        <v>10</v>
      </c>
      <c r="R596" s="112">
        <f t="shared" si="58"/>
        <v>0.18499999999999997</v>
      </c>
      <c r="S596" s="223">
        <f t="shared" si="55"/>
        <v>13.134999999999998</v>
      </c>
      <c r="T596" s="223">
        <f t="shared" si="59"/>
        <v>10.065000000000001</v>
      </c>
      <c r="U596" s="221">
        <v>11040</v>
      </c>
      <c r="V596" s="233"/>
      <c r="W596" s="223"/>
      <c r="X596" s="196">
        <f t="shared" si="57"/>
        <v>71</v>
      </c>
    </row>
    <row r="597" spans="1:24" s="221" customFormat="1">
      <c r="A597" s="221" t="s">
        <v>1276</v>
      </c>
      <c r="B597" s="195" t="s">
        <v>1236</v>
      </c>
      <c r="E597" s="226"/>
      <c r="F597" s="226" t="s">
        <v>908</v>
      </c>
      <c r="G597" s="220" t="str">
        <f t="shared" si="56"/>
        <v>23/5/2008</v>
      </c>
      <c r="H597" s="221">
        <v>23</v>
      </c>
      <c r="I597" s="221">
        <v>5</v>
      </c>
      <c r="J597" s="221">
        <v>2008</v>
      </c>
      <c r="K597" s="221" t="s">
        <v>184</v>
      </c>
      <c r="L597" s="226"/>
      <c r="M597" s="221" t="s">
        <v>869</v>
      </c>
      <c r="N597" s="239">
        <v>23.2</v>
      </c>
      <c r="O597" s="239"/>
      <c r="Q597" s="221">
        <v>10</v>
      </c>
      <c r="R597" s="112">
        <f t="shared" si="58"/>
        <v>0.18499999999999997</v>
      </c>
      <c r="S597" s="223">
        <f t="shared" si="55"/>
        <v>13.134999999999998</v>
      </c>
      <c r="T597" s="223">
        <f t="shared" si="59"/>
        <v>10.065000000000001</v>
      </c>
      <c r="U597" s="221">
        <v>11040</v>
      </c>
      <c r="V597" s="233"/>
      <c r="W597" s="223"/>
      <c r="X597" s="196">
        <f t="shared" si="57"/>
        <v>71</v>
      </c>
    </row>
    <row r="598" spans="1:24" s="221" customFormat="1">
      <c r="A598" s="221" t="s">
        <v>1275</v>
      </c>
      <c r="B598" s="195" t="s">
        <v>1236</v>
      </c>
      <c r="E598" s="226"/>
      <c r="F598" s="226" t="s">
        <v>908</v>
      </c>
      <c r="G598" s="220" t="str">
        <f t="shared" si="56"/>
        <v>23/5/2008</v>
      </c>
      <c r="H598" s="221">
        <v>23</v>
      </c>
      <c r="I598" s="221">
        <v>5</v>
      </c>
      <c r="J598" s="221">
        <v>2008</v>
      </c>
      <c r="K598" s="221" t="s">
        <v>184</v>
      </c>
      <c r="L598" s="226"/>
      <c r="M598" s="221" t="s">
        <v>869</v>
      </c>
      <c r="N598" s="239">
        <v>23.2</v>
      </c>
      <c r="O598" s="239"/>
      <c r="Q598" s="221">
        <v>10</v>
      </c>
      <c r="R598" s="112">
        <f t="shared" si="58"/>
        <v>0.18499999999999997</v>
      </c>
      <c r="S598" s="223">
        <f t="shared" si="55"/>
        <v>13.134999999999998</v>
      </c>
      <c r="T598" s="223">
        <f t="shared" si="59"/>
        <v>10.065000000000001</v>
      </c>
      <c r="U598" s="221">
        <v>11040</v>
      </c>
      <c r="V598" s="233"/>
      <c r="W598" s="223"/>
      <c r="X598" s="196">
        <f t="shared" si="57"/>
        <v>71</v>
      </c>
    </row>
    <row r="599" spans="1:24" s="221" customFormat="1">
      <c r="A599" s="221" t="s">
        <v>1274</v>
      </c>
      <c r="B599" s="195" t="s">
        <v>1236</v>
      </c>
      <c r="E599" s="226"/>
      <c r="F599" s="226" t="s">
        <v>908</v>
      </c>
      <c r="G599" s="220" t="str">
        <f t="shared" si="56"/>
        <v>23/5/2008</v>
      </c>
      <c r="H599" s="221">
        <v>23</v>
      </c>
      <c r="I599" s="221">
        <v>5</v>
      </c>
      <c r="J599" s="221">
        <v>2008</v>
      </c>
      <c r="K599" s="221" t="s">
        <v>184</v>
      </c>
      <c r="L599" s="226"/>
      <c r="M599" s="221" t="s">
        <v>869</v>
      </c>
      <c r="N599" s="239">
        <v>23.2</v>
      </c>
      <c r="O599" s="239"/>
      <c r="Q599" s="221">
        <v>10</v>
      </c>
      <c r="R599" s="112">
        <f t="shared" si="58"/>
        <v>0.18499999999999997</v>
      </c>
      <c r="S599" s="223">
        <f t="shared" si="55"/>
        <v>13.134999999999998</v>
      </c>
      <c r="T599" s="223">
        <f t="shared" si="59"/>
        <v>10.065000000000001</v>
      </c>
      <c r="U599" s="221">
        <v>11040</v>
      </c>
      <c r="V599" s="233"/>
      <c r="W599" s="223"/>
      <c r="X599" s="196">
        <f t="shared" si="57"/>
        <v>71</v>
      </c>
    </row>
    <row r="600" spans="1:24" s="221" customFormat="1">
      <c r="A600" s="221" t="s">
        <v>1273</v>
      </c>
      <c r="B600" s="195" t="s">
        <v>1236</v>
      </c>
      <c r="E600" s="226"/>
      <c r="F600" s="226" t="s">
        <v>908</v>
      </c>
      <c r="G600" s="220" t="str">
        <f t="shared" si="56"/>
        <v>23/5/2008</v>
      </c>
      <c r="H600" s="221">
        <v>23</v>
      </c>
      <c r="I600" s="221">
        <v>5</v>
      </c>
      <c r="J600" s="221">
        <v>2008</v>
      </c>
      <c r="K600" s="221" t="s">
        <v>184</v>
      </c>
      <c r="L600" s="226"/>
      <c r="M600" s="221" t="s">
        <v>869</v>
      </c>
      <c r="N600" s="239">
        <v>23.2</v>
      </c>
      <c r="O600" s="239"/>
      <c r="Q600" s="221">
        <v>10</v>
      </c>
      <c r="R600" s="112">
        <f t="shared" si="58"/>
        <v>0.18499999999999997</v>
      </c>
      <c r="S600" s="223">
        <f t="shared" si="55"/>
        <v>13.134999999999998</v>
      </c>
      <c r="T600" s="223">
        <f t="shared" si="59"/>
        <v>10.065000000000001</v>
      </c>
      <c r="U600" s="221">
        <v>11040</v>
      </c>
      <c r="V600" s="233"/>
      <c r="W600" s="223"/>
      <c r="X600" s="196">
        <f t="shared" si="57"/>
        <v>71</v>
      </c>
    </row>
    <row r="601" spans="1:24" s="221" customFormat="1">
      <c r="A601" s="221" t="s">
        <v>1272</v>
      </c>
      <c r="B601" s="195" t="s">
        <v>1236</v>
      </c>
      <c r="E601" s="226"/>
      <c r="F601" s="226" t="s">
        <v>908</v>
      </c>
      <c r="G601" s="220" t="str">
        <f t="shared" si="56"/>
        <v>23/5/2008</v>
      </c>
      <c r="H601" s="221">
        <v>23</v>
      </c>
      <c r="I601" s="221">
        <v>5</v>
      </c>
      <c r="J601" s="221">
        <v>2008</v>
      </c>
      <c r="K601" s="221" t="s">
        <v>184</v>
      </c>
      <c r="L601" s="226"/>
      <c r="M601" s="221" t="s">
        <v>869</v>
      </c>
      <c r="N601" s="239">
        <v>23.2</v>
      </c>
      <c r="O601" s="239"/>
      <c r="Q601" s="221">
        <v>10</v>
      </c>
      <c r="R601" s="112">
        <f t="shared" si="58"/>
        <v>0.18499999999999997</v>
      </c>
      <c r="S601" s="223">
        <f t="shared" si="55"/>
        <v>13.134999999999998</v>
      </c>
      <c r="T601" s="223">
        <f t="shared" si="59"/>
        <v>10.065000000000001</v>
      </c>
      <c r="U601" s="221">
        <v>11040</v>
      </c>
      <c r="V601" s="233"/>
      <c r="W601" s="223"/>
      <c r="X601" s="196">
        <f t="shared" si="57"/>
        <v>71</v>
      </c>
    </row>
    <row r="602" spans="1:24" s="221" customFormat="1">
      <c r="A602" s="221" t="s">
        <v>1271</v>
      </c>
      <c r="B602" s="195" t="s">
        <v>1236</v>
      </c>
      <c r="E602" s="226"/>
      <c r="F602" s="226" t="s">
        <v>908</v>
      </c>
      <c r="G602" s="220" t="str">
        <f t="shared" si="56"/>
        <v>23/5/2008</v>
      </c>
      <c r="H602" s="221">
        <v>23</v>
      </c>
      <c r="I602" s="221">
        <v>5</v>
      </c>
      <c r="J602" s="221">
        <v>2008</v>
      </c>
      <c r="K602" s="221" t="s">
        <v>184</v>
      </c>
      <c r="L602" s="226"/>
      <c r="M602" s="221" t="s">
        <v>869</v>
      </c>
      <c r="N602" s="239">
        <v>23.2</v>
      </c>
      <c r="O602" s="239"/>
      <c r="Q602" s="221">
        <v>10</v>
      </c>
      <c r="R602" s="112">
        <f t="shared" si="58"/>
        <v>0.18499999999999997</v>
      </c>
      <c r="S602" s="223">
        <f t="shared" si="55"/>
        <v>13.134999999999998</v>
      </c>
      <c r="T602" s="223">
        <f t="shared" si="59"/>
        <v>10.065000000000001</v>
      </c>
      <c r="U602" s="221">
        <v>11040</v>
      </c>
      <c r="V602" s="233"/>
      <c r="W602" s="223"/>
      <c r="X602" s="196">
        <f t="shared" si="57"/>
        <v>71</v>
      </c>
    </row>
    <row r="603" spans="1:24" s="221" customFormat="1">
      <c r="A603" s="221" t="s">
        <v>1270</v>
      </c>
      <c r="B603" s="195" t="s">
        <v>1236</v>
      </c>
      <c r="E603" s="226"/>
      <c r="F603" s="226" t="s">
        <v>908</v>
      </c>
      <c r="G603" s="220" t="str">
        <f t="shared" si="56"/>
        <v>23/5/2008</v>
      </c>
      <c r="H603" s="221">
        <v>23</v>
      </c>
      <c r="I603" s="221">
        <v>5</v>
      </c>
      <c r="J603" s="221">
        <v>2008</v>
      </c>
      <c r="K603" s="221" t="s">
        <v>184</v>
      </c>
      <c r="L603" s="226"/>
      <c r="M603" s="221" t="s">
        <v>869</v>
      </c>
      <c r="N603" s="239">
        <v>23.2</v>
      </c>
      <c r="O603" s="239"/>
      <c r="Q603" s="221">
        <v>10</v>
      </c>
      <c r="R603" s="112">
        <f t="shared" si="58"/>
        <v>0.18499999999999997</v>
      </c>
      <c r="S603" s="223">
        <f t="shared" si="55"/>
        <v>13.134999999999998</v>
      </c>
      <c r="T603" s="223">
        <f t="shared" si="59"/>
        <v>10.065000000000001</v>
      </c>
      <c r="U603" s="221">
        <v>11040</v>
      </c>
      <c r="V603" s="233"/>
      <c r="W603" s="223"/>
      <c r="X603" s="196">
        <f t="shared" si="57"/>
        <v>71</v>
      </c>
    </row>
    <row r="604" spans="1:24" s="221" customFormat="1">
      <c r="A604" s="221" t="s">
        <v>1269</v>
      </c>
      <c r="B604" s="195" t="s">
        <v>1236</v>
      </c>
      <c r="E604" s="226"/>
      <c r="F604" s="226" t="s">
        <v>908</v>
      </c>
      <c r="G604" s="220" t="str">
        <f t="shared" si="56"/>
        <v>23/5/2008</v>
      </c>
      <c r="H604" s="221">
        <v>23</v>
      </c>
      <c r="I604" s="221">
        <v>5</v>
      </c>
      <c r="J604" s="221">
        <v>2008</v>
      </c>
      <c r="K604" s="221" t="s">
        <v>184</v>
      </c>
      <c r="L604" s="226"/>
      <c r="M604" s="221" t="s">
        <v>869</v>
      </c>
      <c r="N604" s="239">
        <v>23.2</v>
      </c>
      <c r="O604" s="239"/>
      <c r="Q604" s="221">
        <v>10</v>
      </c>
      <c r="R604" s="112">
        <f t="shared" si="58"/>
        <v>0.18499999999999997</v>
      </c>
      <c r="S604" s="223">
        <f t="shared" si="55"/>
        <v>13.134999999999998</v>
      </c>
      <c r="T604" s="223">
        <f t="shared" si="59"/>
        <v>10.065000000000001</v>
      </c>
      <c r="U604" s="221">
        <v>11040</v>
      </c>
      <c r="V604" s="233"/>
      <c r="W604" s="223"/>
      <c r="X604" s="196">
        <f t="shared" si="57"/>
        <v>71</v>
      </c>
    </row>
    <row r="605" spans="1:24" s="221" customFormat="1">
      <c r="A605" s="221" t="s">
        <v>1268</v>
      </c>
      <c r="B605" s="195" t="s">
        <v>1236</v>
      </c>
      <c r="E605" s="226"/>
      <c r="F605" s="226" t="s">
        <v>908</v>
      </c>
      <c r="G605" s="220" t="str">
        <f t="shared" si="56"/>
        <v>23/5/2008</v>
      </c>
      <c r="H605" s="221">
        <v>23</v>
      </c>
      <c r="I605" s="221">
        <v>5</v>
      </c>
      <c r="J605" s="221">
        <v>2008</v>
      </c>
      <c r="K605" s="221" t="s">
        <v>184</v>
      </c>
      <c r="L605" s="226"/>
      <c r="M605" s="221" t="s">
        <v>869</v>
      </c>
      <c r="N605" s="239">
        <v>23.2</v>
      </c>
      <c r="O605" s="239"/>
      <c r="Q605" s="221">
        <v>10</v>
      </c>
      <c r="R605" s="112">
        <f t="shared" si="58"/>
        <v>0.18499999999999997</v>
      </c>
      <c r="S605" s="223">
        <f t="shared" si="55"/>
        <v>13.134999999999998</v>
      </c>
      <c r="T605" s="223">
        <f t="shared" si="59"/>
        <v>10.065000000000001</v>
      </c>
      <c r="U605" s="221">
        <v>11040</v>
      </c>
      <c r="V605" s="233"/>
      <c r="W605" s="223"/>
      <c r="X605" s="196">
        <f t="shared" si="57"/>
        <v>71</v>
      </c>
    </row>
    <row r="606" spans="1:24" s="221" customFormat="1">
      <c r="A606" s="221" t="s">
        <v>1267</v>
      </c>
      <c r="B606" s="195" t="s">
        <v>1236</v>
      </c>
      <c r="E606" s="226"/>
      <c r="F606" s="226" t="s">
        <v>908</v>
      </c>
      <c r="G606" s="220" t="str">
        <f t="shared" si="56"/>
        <v>23/5/2008</v>
      </c>
      <c r="H606" s="221">
        <v>23</v>
      </c>
      <c r="I606" s="221">
        <v>5</v>
      </c>
      <c r="J606" s="221">
        <v>2008</v>
      </c>
      <c r="K606" s="221" t="s">
        <v>184</v>
      </c>
      <c r="L606" s="226"/>
      <c r="M606" s="221" t="s">
        <v>869</v>
      </c>
      <c r="N606" s="239">
        <v>23.2</v>
      </c>
      <c r="O606" s="239"/>
      <c r="Q606" s="221">
        <v>10</v>
      </c>
      <c r="R606" s="112">
        <f t="shared" si="58"/>
        <v>0.18499999999999997</v>
      </c>
      <c r="S606" s="223">
        <f t="shared" si="55"/>
        <v>13.134999999999998</v>
      </c>
      <c r="T606" s="223">
        <f t="shared" si="59"/>
        <v>10.065000000000001</v>
      </c>
      <c r="U606" s="221">
        <v>11040</v>
      </c>
      <c r="V606" s="233"/>
      <c r="W606" s="223"/>
      <c r="X606" s="196">
        <f t="shared" si="57"/>
        <v>71</v>
      </c>
    </row>
    <row r="607" spans="1:24" s="221" customFormat="1">
      <c r="A607" s="221" t="s">
        <v>1266</v>
      </c>
      <c r="B607" s="195" t="s">
        <v>1236</v>
      </c>
      <c r="E607" s="226"/>
      <c r="F607" s="226" t="s">
        <v>908</v>
      </c>
      <c r="G607" s="220" t="str">
        <f t="shared" si="56"/>
        <v>23/5/2008</v>
      </c>
      <c r="H607" s="221">
        <v>23</v>
      </c>
      <c r="I607" s="221">
        <v>5</v>
      </c>
      <c r="J607" s="221">
        <v>2008</v>
      </c>
      <c r="K607" s="221" t="s">
        <v>184</v>
      </c>
      <c r="L607" s="226"/>
      <c r="M607" s="221" t="s">
        <v>869</v>
      </c>
      <c r="N607" s="239">
        <v>23.2</v>
      </c>
      <c r="O607" s="239"/>
      <c r="Q607" s="221">
        <v>10</v>
      </c>
      <c r="R607" s="112">
        <f t="shared" si="58"/>
        <v>0.18499999999999997</v>
      </c>
      <c r="S607" s="223">
        <f t="shared" si="55"/>
        <v>13.134999999999998</v>
      </c>
      <c r="T607" s="223">
        <f t="shared" si="59"/>
        <v>10.065000000000001</v>
      </c>
      <c r="U607" s="221">
        <v>11040</v>
      </c>
      <c r="V607" s="233"/>
      <c r="W607" s="223"/>
      <c r="X607" s="196">
        <f t="shared" si="57"/>
        <v>71</v>
      </c>
    </row>
    <row r="608" spans="1:24" s="221" customFormat="1">
      <c r="A608" s="221" t="s">
        <v>1265</v>
      </c>
      <c r="B608" s="195" t="s">
        <v>1236</v>
      </c>
      <c r="E608" s="226"/>
      <c r="F608" s="226" t="s">
        <v>908</v>
      </c>
      <c r="G608" s="220" t="str">
        <f t="shared" si="56"/>
        <v>23/5/2008</v>
      </c>
      <c r="H608" s="221">
        <v>23</v>
      </c>
      <c r="I608" s="221">
        <v>5</v>
      </c>
      <c r="J608" s="221">
        <v>2008</v>
      </c>
      <c r="K608" s="221" t="s">
        <v>184</v>
      </c>
      <c r="L608" s="226"/>
      <c r="M608" s="221" t="s">
        <v>869</v>
      </c>
      <c r="N608" s="239">
        <v>23.2</v>
      </c>
      <c r="O608" s="239"/>
      <c r="Q608" s="221">
        <v>10</v>
      </c>
      <c r="R608" s="112">
        <f t="shared" si="58"/>
        <v>0.18499999999999997</v>
      </c>
      <c r="S608" s="223">
        <f t="shared" si="55"/>
        <v>13.134999999999998</v>
      </c>
      <c r="T608" s="223">
        <f t="shared" si="59"/>
        <v>10.065000000000001</v>
      </c>
      <c r="U608" s="221">
        <v>11040</v>
      </c>
      <c r="V608" s="233"/>
      <c r="W608" s="223"/>
      <c r="X608" s="196">
        <f t="shared" si="57"/>
        <v>71</v>
      </c>
    </row>
    <row r="609" spans="1:24" s="221" customFormat="1">
      <c r="A609" s="221" t="s">
        <v>1264</v>
      </c>
      <c r="B609" s="195" t="s">
        <v>1236</v>
      </c>
      <c r="E609" s="226"/>
      <c r="F609" s="226" t="s">
        <v>908</v>
      </c>
      <c r="G609" s="220" t="str">
        <f t="shared" si="56"/>
        <v>23/5/2008</v>
      </c>
      <c r="H609" s="221">
        <v>23</v>
      </c>
      <c r="I609" s="221">
        <v>5</v>
      </c>
      <c r="J609" s="221">
        <v>2008</v>
      </c>
      <c r="K609" s="221" t="s">
        <v>184</v>
      </c>
      <c r="L609" s="226"/>
      <c r="M609" s="221" t="s">
        <v>869</v>
      </c>
      <c r="N609" s="239">
        <v>23.2</v>
      </c>
      <c r="O609" s="239"/>
      <c r="Q609" s="221">
        <v>10</v>
      </c>
      <c r="R609" s="112">
        <f t="shared" si="58"/>
        <v>0.18499999999999997</v>
      </c>
      <c r="S609" s="223">
        <f t="shared" si="55"/>
        <v>13.134999999999998</v>
      </c>
      <c r="T609" s="223">
        <f t="shared" si="59"/>
        <v>10.065000000000001</v>
      </c>
      <c r="U609" s="221">
        <v>11040</v>
      </c>
      <c r="V609" s="233"/>
      <c r="W609" s="223"/>
      <c r="X609" s="196">
        <f t="shared" si="57"/>
        <v>71</v>
      </c>
    </row>
    <row r="610" spans="1:24" s="221" customFormat="1">
      <c r="A610" s="221" t="s">
        <v>1263</v>
      </c>
      <c r="B610" s="195" t="s">
        <v>1236</v>
      </c>
      <c r="E610" s="226"/>
      <c r="F610" s="226" t="s">
        <v>908</v>
      </c>
      <c r="G610" s="220" t="str">
        <f t="shared" si="56"/>
        <v>23/5/2008</v>
      </c>
      <c r="H610" s="221">
        <v>23</v>
      </c>
      <c r="I610" s="221">
        <v>5</v>
      </c>
      <c r="J610" s="221">
        <v>2008</v>
      </c>
      <c r="K610" s="221" t="s">
        <v>184</v>
      </c>
      <c r="L610" s="226"/>
      <c r="M610" s="221" t="s">
        <v>869</v>
      </c>
      <c r="N610" s="239">
        <v>23.2</v>
      </c>
      <c r="O610" s="239"/>
      <c r="Q610" s="221">
        <v>10</v>
      </c>
      <c r="R610" s="112">
        <f t="shared" si="58"/>
        <v>0.18499999999999997</v>
      </c>
      <c r="S610" s="223">
        <f t="shared" si="55"/>
        <v>13.134999999999998</v>
      </c>
      <c r="T610" s="223">
        <f t="shared" si="59"/>
        <v>10.065000000000001</v>
      </c>
      <c r="U610" s="221">
        <v>11040</v>
      </c>
      <c r="V610" s="233"/>
      <c r="W610" s="223"/>
      <c r="X610" s="196">
        <f t="shared" si="57"/>
        <v>71</v>
      </c>
    </row>
    <row r="611" spans="1:24" s="221" customFormat="1">
      <c r="A611" s="221" t="s">
        <v>1262</v>
      </c>
      <c r="B611" s="195" t="s">
        <v>1236</v>
      </c>
      <c r="E611" s="226"/>
      <c r="F611" s="226" t="s">
        <v>908</v>
      </c>
      <c r="G611" s="220" t="str">
        <f t="shared" si="56"/>
        <v>23/5/2008</v>
      </c>
      <c r="H611" s="221">
        <v>23</v>
      </c>
      <c r="I611" s="221">
        <v>5</v>
      </c>
      <c r="J611" s="221">
        <v>2008</v>
      </c>
      <c r="K611" s="221" t="s">
        <v>184</v>
      </c>
      <c r="L611" s="226"/>
      <c r="M611" s="221" t="s">
        <v>869</v>
      </c>
      <c r="N611" s="239">
        <v>23.2</v>
      </c>
      <c r="O611" s="239"/>
      <c r="Q611" s="221">
        <v>10</v>
      </c>
      <c r="R611" s="112">
        <f t="shared" si="58"/>
        <v>0.18499999999999997</v>
      </c>
      <c r="S611" s="223">
        <f t="shared" si="55"/>
        <v>13.134999999999998</v>
      </c>
      <c r="T611" s="223">
        <f t="shared" si="59"/>
        <v>10.065000000000001</v>
      </c>
      <c r="U611" s="221">
        <v>11040</v>
      </c>
      <c r="V611" s="233"/>
      <c r="W611" s="223"/>
      <c r="X611" s="196">
        <f t="shared" si="57"/>
        <v>71</v>
      </c>
    </row>
    <row r="612" spans="1:24" s="221" customFormat="1">
      <c r="A612" s="221" t="s">
        <v>1261</v>
      </c>
      <c r="B612" s="195" t="s">
        <v>1236</v>
      </c>
      <c r="E612" s="226"/>
      <c r="F612" s="226" t="s">
        <v>908</v>
      </c>
      <c r="G612" s="220" t="str">
        <f t="shared" si="56"/>
        <v>23/5/2008</v>
      </c>
      <c r="H612" s="221">
        <v>23</v>
      </c>
      <c r="I612" s="221">
        <v>5</v>
      </c>
      <c r="J612" s="221">
        <v>2008</v>
      </c>
      <c r="K612" s="221" t="s">
        <v>184</v>
      </c>
      <c r="L612" s="226"/>
      <c r="M612" s="221" t="s">
        <v>869</v>
      </c>
      <c r="N612" s="239">
        <v>23.2</v>
      </c>
      <c r="O612" s="239"/>
      <c r="Q612" s="221">
        <v>10</v>
      </c>
      <c r="R612" s="112">
        <f t="shared" si="58"/>
        <v>0.18499999999999997</v>
      </c>
      <c r="S612" s="223">
        <f t="shared" si="55"/>
        <v>13.134999999999998</v>
      </c>
      <c r="T612" s="223">
        <f t="shared" si="59"/>
        <v>10.065000000000001</v>
      </c>
      <c r="U612" s="221">
        <v>11040</v>
      </c>
      <c r="V612" s="233"/>
      <c r="W612" s="223"/>
      <c r="X612" s="196">
        <f t="shared" si="57"/>
        <v>71</v>
      </c>
    </row>
    <row r="613" spans="1:24" s="221" customFormat="1">
      <c r="A613" s="221" t="s">
        <v>1260</v>
      </c>
      <c r="B613" s="195" t="s">
        <v>1236</v>
      </c>
      <c r="E613" s="226"/>
      <c r="F613" s="226" t="s">
        <v>908</v>
      </c>
      <c r="G613" s="220" t="str">
        <f t="shared" si="56"/>
        <v>23/5/2008</v>
      </c>
      <c r="H613" s="221">
        <v>23</v>
      </c>
      <c r="I613" s="221">
        <v>5</v>
      </c>
      <c r="J613" s="221">
        <v>2008</v>
      </c>
      <c r="K613" s="221" t="s">
        <v>184</v>
      </c>
      <c r="L613" s="226"/>
      <c r="M613" s="221" t="s">
        <v>869</v>
      </c>
      <c r="N613" s="239">
        <v>23.2</v>
      </c>
      <c r="O613" s="239"/>
      <c r="Q613" s="221">
        <v>10</v>
      </c>
      <c r="R613" s="112">
        <f t="shared" si="58"/>
        <v>0.18499999999999997</v>
      </c>
      <c r="S613" s="223">
        <f t="shared" si="55"/>
        <v>13.134999999999998</v>
      </c>
      <c r="T613" s="223">
        <f t="shared" si="59"/>
        <v>10.065000000000001</v>
      </c>
      <c r="U613" s="221">
        <v>11040</v>
      </c>
      <c r="V613" s="233"/>
      <c r="W613" s="223"/>
      <c r="X613" s="196">
        <f t="shared" si="57"/>
        <v>71</v>
      </c>
    </row>
    <row r="614" spans="1:24" s="221" customFormat="1">
      <c r="A614" s="221" t="s">
        <v>1259</v>
      </c>
      <c r="B614" s="195" t="s">
        <v>1236</v>
      </c>
      <c r="E614" s="226"/>
      <c r="F614" s="226" t="s">
        <v>908</v>
      </c>
      <c r="G614" s="220" t="str">
        <f t="shared" si="56"/>
        <v>23/5/2008</v>
      </c>
      <c r="H614" s="221">
        <v>23</v>
      </c>
      <c r="I614" s="221">
        <v>5</v>
      </c>
      <c r="J614" s="221">
        <v>2008</v>
      </c>
      <c r="K614" s="221" t="s">
        <v>184</v>
      </c>
      <c r="L614" s="226"/>
      <c r="M614" s="221" t="s">
        <v>869</v>
      </c>
      <c r="N614" s="239">
        <v>23.2</v>
      </c>
      <c r="O614" s="239"/>
      <c r="Q614" s="221">
        <v>10</v>
      </c>
      <c r="R614" s="112">
        <f t="shared" si="58"/>
        <v>0.18499999999999997</v>
      </c>
      <c r="S614" s="223">
        <f t="shared" si="55"/>
        <v>13.134999999999998</v>
      </c>
      <c r="T614" s="223">
        <f t="shared" si="59"/>
        <v>10.065000000000001</v>
      </c>
      <c r="U614" s="221">
        <v>11040</v>
      </c>
      <c r="V614" s="233"/>
      <c r="W614" s="223"/>
      <c r="X614" s="196">
        <f t="shared" si="57"/>
        <v>71</v>
      </c>
    </row>
    <row r="615" spans="1:24" s="221" customFormat="1">
      <c r="A615" s="221" t="s">
        <v>1258</v>
      </c>
      <c r="B615" s="195" t="s">
        <v>1236</v>
      </c>
      <c r="E615" s="226"/>
      <c r="F615" s="226" t="s">
        <v>908</v>
      </c>
      <c r="G615" s="220" t="str">
        <f t="shared" si="56"/>
        <v>23/5/2008</v>
      </c>
      <c r="H615" s="221">
        <v>23</v>
      </c>
      <c r="I615" s="221">
        <v>5</v>
      </c>
      <c r="J615" s="221">
        <v>2008</v>
      </c>
      <c r="K615" s="221" t="s">
        <v>184</v>
      </c>
      <c r="L615" s="226"/>
      <c r="M615" s="221" t="s">
        <v>869</v>
      </c>
      <c r="N615" s="239">
        <v>23.2</v>
      </c>
      <c r="O615" s="239"/>
      <c r="Q615" s="221">
        <v>10</v>
      </c>
      <c r="R615" s="112">
        <f t="shared" si="58"/>
        <v>0.18499999999999997</v>
      </c>
      <c r="S615" s="223">
        <f t="shared" si="55"/>
        <v>13.134999999999998</v>
      </c>
      <c r="T615" s="223">
        <f t="shared" si="59"/>
        <v>10.065000000000001</v>
      </c>
      <c r="U615" s="221">
        <v>11040</v>
      </c>
      <c r="V615" s="233"/>
      <c r="W615" s="223"/>
      <c r="X615" s="196">
        <f t="shared" si="57"/>
        <v>71</v>
      </c>
    </row>
    <row r="616" spans="1:24" s="221" customFormat="1">
      <c r="A616" s="221" t="s">
        <v>1257</v>
      </c>
      <c r="B616" s="195" t="s">
        <v>1236</v>
      </c>
      <c r="E616" s="226"/>
      <c r="F616" s="226" t="s">
        <v>908</v>
      </c>
      <c r="G616" s="220" t="str">
        <f t="shared" si="56"/>
        <v>23/5/2008</v>
      </c>
      <c r="H616" s="221">
        <v>23</v>
      </c>
      <c r="I616" s="221">
        <v>5</v>
      </c>
      <c r="J616" s="221">
        <v>2008</v>
      </c>
      <c r="K616" s="221" t="s">
        <v>184</v>
      </c>
      <c r="L616" s="226"/>
      <c r="M616" s="221" t="s">
        <v>869</v>
      </c>
      <c r="N616" s="239">
        <v>23.2</v>
      </c>
      <c r="O616" s="239"/>
      <c r="Q616" s="221">
        <v>10</v>
      </c>
      <c r="R616" s="112">
        <f t="shared" si="58"/>
        <v>0.18499999999999997</v>
      </c>
      <c r="S616" s="223">
        <f t="shared" si="55"/>
        <v>13.134999999999998</v>
      </c>
      <c r="T616" s="223">
        <f t="shared" si="59"/>
        <v>10.065000000000001</v>
      </c>
      <c r="U616" s="221">
        <v>11040</v>
      </c>
      <c r="V616" s="233"/>
      <c r="W616" s="223"/>
      <c r="X616" s="196">
        <f t="shared" si="57"/>
        <v>71</v>
      </c>
    </row>
    <row r="617" spans="1:24" s="221" customFormat="1">
      <c r="A617" s="221" t="s">
        <v>1256</v>
      </c>
      <c r="B617" s="195" t="s">
        <v>1236</v>
      </c>
      <c r="E617" s="226"/>
      <c r="F617" s="226" t="s">
        <v>908</v>
      </c>
      <c r="G617" s="220" t="str">
        <f t="shared" si="56"/>
        <v>23/5/2008</v>
      </c>
      <c r="H617" s="221">
        <v>23</v>
      </c>
      <c r="I617" s="221">
        <v>5</v>
      </c>
      <c r="J617" s="221">
        <v>2008</v>
      </c>
      <c r="K617" s="221" t="s">
        <v>184</v>
      </c>
      <c r="L617" s="226"/>
      <c r="M617" s="221" t="s">
        <v>869</v>
      </c>
      <c r="N617" s="239">
        <v>23.2</v>
      </c>
      <c r="O617" s="239"/>
      <c r="Q617" s="221">
        <v>10</v>
      </c>
      <c r="R617" s="112">
        <f t="shared" si="58"/>
        <v>0.18499999999999997</v>
      </c>
      <c r="S617" s="223">
        <f t="shared" si="55"/>
        <v>13.134999999999998</v>
      </c>
      <c r="T617" s="223">
        <f t="shared" si="59"/>
        <v>10.065000000000001</v>
      </c>
      <c r="U617" s="221">
        <v>11040</v>
      </c>
      <c r="V617" s="233"/>
      <c r="W617" s="223"/>
      <c r="X617" s="196">
        <f t="shared" si="57"/>
        <v>71</v>
      </c>
    </row>
    <row r="618" spans="1:24" s="221" customFormat="1">
      <c r="A618" s="221" t="s">
        <v>1255</v>
      </c>
      <c r="B618" s="195" t="s">
        <v>1236</v>
      </c>
      <c r="E618" s="226"/>
      <c r="F618" s="226" t="s">
        <v>908</v>
      </c>
      <c r="G618" s="220" t="str">
        <f t="shared" si="56"/>
        <v>23/5/2008</v>
      </c>
      <c r="H618" s="221">
        <v>23</v>
      </c>
      <c r="I618" s="221">
        <v>5</v>
      </c>
      <c r="J618" s="221">
        <v>2008</v>
      </c>
      <c r="K618" s="221" t="s">
        <v>184</v>
      </c>
      <c r="L618" s="226"/>
      <c r="M618" s="221" t="s">
        <v>869</v>
      </c>
      <c r="N618" s="239">
        <v>23.2</v>
      </c>
      <c r="O618" s="239"/>
      <c r="Q618" s="221">
        <v>10</v>
      </c>
      <c r="R618" s="112">
        <f t="shared" si="58"/>
        <v>0.18499999999999997</v>
      </c>
      <c r="S618" s="223">
        <f t="shared" si="55"/>
        <v>13.134999999999998</v>
      </c>
      <c r="T618" s="223">
        <f t="shared" si="59"/>
        <v>10.065000000000001</v>
      </c>
      <c r="U618" s="221">
        <v>11040</v>
      </c>
      <c r="V618" s="233"/>
      <c r="W618" s="223"/>
      <c r="X618" s="196">
        <f t="shared" si="57"/>
        <v>71</v>
      </c>
    </row>
    <row r="619" spans="1:24" s="221" customFormat="1">
      <c r="A619" s="221" t="s">
        <v>1254</v>
      </c>
      <c r="B619" s="195" t="s">
        <v>1236</v>
      </c>
      <c r="E619" s="226"/>
      <c r="F619" s="226" t="s">
        <v>908</v>
      </c>
      <c r="G619" s="220" t="str">
        <f t="shared" si="56"/>
        <v>23/5/2008</v>
      </c>
      <c r="H619" s="221">
        <v>23</v>
      </c>
      <c r="I619" s="221">
        <v>5</v>
      </c>
      <c r="J619" s="221">
        <v>2008</v>
      </c>
      <c r="K619" s="221" t="s">
        <v>184</v>
      </c>
      <c r="L619" s="226"/>
      <c r="M619" s="221" t="s">
        <v>869</v>
      </c>
      <c r="N619" s="239">
        <v>23.2</v>
      </c>
      <c r="O619" s="239"/>
      <c r="Q619" s="221">
        <v>10</v>
      </c>
      <c r="R619" s="112">
        <f t="shared" si="58"/>
        <v>0.18499999999999997</v>
      </c>
      <c r="S619" s="223">
        <f t="shared" si="55"/>
        <v>13.134999999999998</v>
      </c>
      <c r="T619" s="223">
        <f t="shared" si="59"/>
        <v>10.065000000000001</v>
      </c>
      <c r="U619" s="221">
        <v>11040</v>
      </c>
      <c r="V619" s="233"/>
      <c r="W619" s="223"/>
      <c r="X619" s="196">
        <f t="shared" si="57"/>
        <v>71</v>
      </c>
    </row>
    <row r="620" spans="1:24" s="221" customFormat="1">
      <c r="A620" s="221" t="s">
        <v>1253</v>
      </c>
      <c r="B620" s="195" t="s">
        <v>1236</v>
      </c>
      <c r="E620" s="226"/>
      <c r="F620" s="226" t="s">
        <v>908</v>
      </c>
      <c r="G620" s="220" t="str">
        <f t="shared" si="56"/>
        <v>23/5/2008</v>
      </c>
      <c r="H620" s="221">
        <v>23</v>
      </c>
      <c r="I620" s="221">
        <v>5</v>
      </c>
      <c r="J620" s="221">
        <v>2008</v>
      </c>
      <c r="K620" s="221" t="s">
        <v>184</v>
      </c>
      <c r="L620" s="226"/>
      <c r="M620" s="221" t="s">
        <v>869</v>
      </c>
      <c r="N620" s="239">
        <v>23.2</v>
      </c>
      <c r="O620" s="239"/>
      <c r="Q620" s="221">
        <v>10</v>
      </c>
      <c r="R620" s="112">
        <f t="shared" si="58"/>
        <v>0.18499999999999997</v>
      </c>
      <c r="S620" s="223">
        <f t="shared" si="55"/>
        <v>13.134999999999998</v>
      </c>
      <c r="T620" s="223">
        <f t="shared" si="59"/>
        <v>10.065000000000001</v>
      </c>
      <c r="U620" s="221">
        <v>11040</v>
      </c>
      <c r="V620" s="233"/>
      <c r="W620" s="223"/>
      <c r="X620" s="196">
        <f t="shared" si="57"/>
        <v>71</v>
      </c>
    </row>
    <row r="621" spans="1:24" s="221" customFormat="1">
      <c r="A621" s="221" t="s">
        <v>1252</v>
      </c>
      <c r="B621" s="195" t="s">
        <v>1236</v>
      </c>
      <c r="E621" s="226"/>
      <c r="F621" s="226" t="s">
        <v>908</v>
      </c>
      <c r="G621" s="220" t="str">
        <f t="shared" si="56"/>
        <v>23/5/2008</v>
      </c>
      <c r="H621" s="221">
        <v>23</v>
      </c>
      <c r="I621" s="221">
        <v>5</v>
      </c>
      <c r="J621" s="221">
        <v>2008</v>
      </c>
      <c r="K621" s="221" t="s">
        <v>184</v>
      </c>
      <c r="L621" s="226"/>
      <c r="M621" s="221" t="s">
        <v>869</v>
      </c>
      <c r="N621" s="239">
        <v>23.2</v>
      </c>
      <c r="O621" s="239"/>
      <c r="Q621" s="221">
        <v>10</v>
      </c>
      <c r="R621" s="112">
        <f t="shared" si="58"/>
        <v>0.18499999999999997</v>
      </c>
      <c r="S621" s="223">
        <f t="shared" si="55"/>
        <v>13.134999999999998</v>
      </c>
      <c r="T621" s="223">
        <f t="shared" si="59"/>
        <v>10.065000000000001</v>
      </c>
      <c r="U621" s="221">
        <v>11040</v>
      </c>
      <c r="V621" s="233"/>
      <c r="W621" s="223"/>
      <c r="X621" s="196">
        <f t="shared" si="57"/>
        <v>71</v>
      </c>
    </row>
    <row r="622" spans="1:24" s="221" customFormat="1">
      <c r="A622" s="221" t="s">
        <v>1251</v>
      </c>
      <c r="B622" s="195" t="s">
        <v>1236</v>
      </c>
      <c r="E622" s="226"/>
      <c r="F622" s="226" t="s">
        <v>908</v>
      </c>
      <c r="G622" s="220" t="str">
        <f t="shared" si="56"/>
        <v>23/5/2008</v>
      </c>
      <c r="H622" s="221">
        <v>23</v>
      </c>
      <c r="I622" s="221">
        <v>5</v>
      </c>
      <c r="J622" s="221">
        <v>2008</v>
      </c>
      <c r="K622" s="221" t="s">
        <v>184</v>
      </c>
      <c r="L622" s="226"/>
      <c r="M622" s="221" t="s">
        <v>869</v>
      </c>
      <c r="N622" s="239">
        <v>23.2</v>
      </c>
      <c r="O622" s="239"/>
      <c r="Q622" s="221">
        <v>10</v>
      </c>
      <c r="R622" s="112">
        <f t="shared" si="58"/>
        <v>0.18499999999999997</v>
      </c>
      <c r="S622" s="223">
        <f t="shared" si="55"/>
        <v>13.134999999999998</v>
      </c>
      <c r="T622" s="223">
        <f t="shared" si="59"/>
        <v>10.065000000000001</v>
      </c>
      <c r="U622" s="221">
        <v>11040</v>
      </c>
      <c r="V622" s="233"/>
      <c r="W622" s="223"/>
      <c r="X622" s="196">
        <f t="shared" si="57"/>
        <v>71</v>
      </c>
    </row>
    <row r="623" spans="1:24" s="221" customFormat="1">
      <c r="A623" s="221" t="s">
        <v>1250</v>
      </c>
      <c r="B623" s="195" t="s">
        <v>1236</v>
      </c>
      <c r="E623" s="226"/>
      <c r="F623" s="226" t="s">
        <v>908</v>
      </c>
      <c r="G623" s="220" t="str">
        <f t="shared" si="56"/>
        <v>23/5/2008</v>
      </c>
      <c r="H623" s="221">
        <v>23</v>
      </c>
      <c r="I623" s="221">
        <v>5</v>
      </c>
      <c r="J623" s="221">
        <v>2008</v>
      </c>
      <c r="K623" s="221" t="s">
        <v>184</v>
      </c>
      <c r="L623" s="226"/>
      <c r="M623" s="221" t="s">
        <v>869</v>
      </c>
      <c r="N623" s="239">
        <v>23.2</v>
      </c>
      <c r="O623" s="239"/>
      <c r="Q623" s="221">
        <v>10</v>
      </c>
      <c r="R623" s="112">
        <f t="shared" si="58"/>
        <v>0.18499999999999997</v>
      </c>
      <c r="S623" s="223">
        <f t="shared" si="55"/>
        <v>13.134999999999998</v>
      </c>
      <c r="T623" s="223">
        <f t="shared" si="59"/>
        <v>10.065000000000001</v>
      </c>
      <c r="U623" s="221">
        <v>11040</v>
      </c>
      <c r="V623" s="233"/>
      <c r="W623" s="223"/>
      <c r="X623" s="196">
        <f t="shared" si="57"/>
        <v>71</v>
      </c>
    </row>
    <row r="624" spans="1:24" s="221" customFormat="1">
      <c r="A624" s="221" t="s">
        <v>1249</v>
      </c>
      <c r="B624" s="195" t="s">
        <v>1236</v>
      </c>
      <c r="E624" s="226"/>
      <c r="F624" s="226" t="s">
        <v>908</v>
      </c>
      <c r="G624" s="220" t="str">
        <f t="shared" si="56"/>
        <v>23/5/2008</v>
      </c>
      <c r="H624" s="221">
        <v>23</v>
      </c>
      <c r="I624" s="221">
        <v>5</v>
      </c>
      <c r="J624" s="221">
        <v>2008</v>
      </c>
      <c r="K624" s="221" t="s">
        <v>184</v>
      </c>
      <c r="L624" s="226"/>
      <c r="M624" s="221" t="s">
        <v>869</v>
      </c>
      <c r="N624" s="239">
        <v>23.2</v>
      </c>
      <c r="O624" s="239"/>
      <c r="Q624" s="221">
        <v>10</v>
      </c>
      <c r="R624" s="112">
        <f t="shared" si="58"/>
        <v>0.18499999999999997</v>
      </c>
      <c r="S624" s="223">
        <f t="shared" si="55"/>
        <v>13.134999999999998</v>
      </c>
      <c r="T624" s="223">
        <f t="shared" si="59"/>
        <v>10.065000000000001</v>
      </c>
      <c r="U624" s="221">
        <v>11040</v>
      </c>
      <c r="V624" s="233"/>
      <c r="W624" s="223"/>
      <c r="X624" s="196">
        <f t="shared" si="57"/>
        <v>71</v>
      </c>
    </row>
    <row r="625" spans="1:24" s="221" customFormat="1">
      <c r="A625" s="221" t="s">
        <v>1248</v>
      </c>
      <c r="B625" s="195" t="s">
        <v>1236</v>
      </c>
      <c r="E625" s="226"/>
      <c r="F625" s="226" t="s">
        <v>908</v>
      </c>
      <c r="G625" s="220" t="str">
        <f t="shared" si="56"/>
        <v>23/5/2008</v>
      </c>
      <c r="H625" s="221">
        <v>23</v>
      </c>
      <c r="I625" s="221">
        <v>5</v>
      </c>
      <c r="J625" s="221">
        <v>2008</v>
      </c>
      <c r="K625" s="221" t="s">
        <v>184</v>
      </c>
      <c r="L625" s="226"/>
      <c r="M625" s="221" t="s">
        <v>869</v>
      </c>
      <c r="N625" s="239">
        <v>23.2</v>
      </c>
      <c r="O625" s="239"/>
      <c r="Q625" s="221">
        <v>10</v>
      </c>
      <c r="R625" s="112">
        <f t="shared" si="58"/>
        <v>0.18499999999999997</v>
      </c>
      <c r="S625" s="223">
        <f t="shared" ref="S625:S688" si="60">X625*R625</f>
        <v>13.134999999999998</v>
      </c>
      <c r="T625" s="223">
        <f t="shared" si="59"/>
        <v>10.065000000000001</v>
      </c>
      <c r="U625" s="221">
        <v>11040</v>
      </c>
      <c r="V625" s="233"/>
      <c r="W625" s="223"/>
      <c r="X625" s="196">
        <f t="shared" si="57"/>
        <v>71</v>
      </c>
    </row>
    <row r="626" spans="1:24" s="221" customFormat="1">
      <c r="A626" s="221" t="s">
        <v>1247</v>
      </c>
      <c r="B626" s="195" t="s">
        <v>1236</v>
      </c>
      <c r="E626" s="226"/>
      <c r="F626" s="226" t="s">
        <v>908</v>
      </c>
      <c r="G626" s="220" t="str">
        <f t="shared" si="56"/>
        <v>23/5/2008</v>
      </c>
      <c r="H626" s="221">
        <v>23</v>
      </c>
      <c r="I626" s="221">
        <v>5</v>
      </c>
      <c r="J626" s="221">
        <v>2008</v>
      </c>
      <c r="K626" s="221" t="s">
        <v>184</v>
      </c>
      <c r="L626" s="226"/>
      <c r="M626" s="221" t="s">
        <v>869</v>
      </c>
      <c r="N626" s="239">
        <v>23.2</v>
      </c>
      <c r="O626" s="239"/>
      <c r="Q626" s="221">
        <v>10</v>
      </c>
      <c r="R626" s="112">
        <f t="shared" si="58"/>
        <v>0.18499999999999997</v>
      </c>
      <c r="S626" s="223">
        <f t="shared" si="60"/>
        <v>13.134999999999998</v>
      </c>
      <c r="T626" s="223">
        <f t="shared" si="59"/>
        <v>10.065000000000001</v>
      </c>
      <c r="U626" s="221">
        <v>11040</v>
      </c>
      <c r="V626" s="233"/>
      <c r="W626" s="223"/>
      <c r="X626" s="196">
        <f t="shared" si="57"/>
        <v>71</v>
      </c>
    </row>
    <row r="627" spans="1:24" s="221" customFormat="1">
      <c r="A627" s="221" t="s">
        <v>1246</v>
      </c>
      <c r="B627" s="195" t="s">
        <v>1236</v>
      </c>
      <c r="E627" s="226"/>
      <c r="F627" s="226" t="s">
        <v>908</v>
      </c>
      <c r="G627" s="220" t="str">
        <f t="shared" si="56"/>
        <v>23/5/2008</v>
      </c>
      <c r="H627" s="221">
        <v>23</v>
      </c>
      <c r="I627" s="221">
        <v>5</v>
      </c>
      <c r="J627" s="221">
        <v>2008</v>
      </c>
      <c r="K627" s="221" t="s">
        <v>184</v>
      </c>
      <c r="L627" s="226"/>
      <c r="M627" s="221" t="s">
        <v>869</v>
      </c>
      <c r="N627" s="239">
        <v>23.2</v>
      </c>
      <c r="O627" s="239"/>
      <c r="Q627" s="221">
        <v>10</v>
      </c>
      <c r="R627" s="112">
        <f t="shared" si="58"/>
        <v>0.18499999999999997</v>
      </c>
      <c r="S627" s="223">
        <f t="shared" si="60"/>
        <v>13.134999999999998</v>
      </c>
      <c r="T627" s="223">
        <f t="shared" si="59"/>
        <v>10.065000000000001</v>
      </c>
      <c r="U627" s="221">
        <v>11040</v>
      </c>
      <c r="V627" s="233"/>
      <c r="W627" s="223"/>
      <c r="X627" s="196">
        <f t="shared" si="57"/>
        <v>71</v>
      </c>
    </row>
    <row r="628" spans="1:24" s="221" customFormat="1">
      <c r="A628" s="221" t="s">
        <v>1245</v>
      </c>
      <c r="B628" s="195" t="s">
        <v>1236</v>
      </c>
      <c r="E628" s="226"/>
      <c r="F628" s="226" t="s">
        <v>908</v>
      </c>
      <c r="G628" s="220" t="str">
        <f t="shared" si="56"/>
        <v>23/5/2008</v>
      </c>
      <c r="H628" s="221">
        <v>23</v>
      </c>
      <c r="I628" s="221">
        <v>5</v>
      </c>
      <c r="J628" s="221">
        <v>2008</v>
      </c>
      <c r="K628" s="221" t="s">
        <v>184</v>
      </c>
      <c r="L628" s="226"/>
      <c r="M628" s="221" t="s">
        <v>869</v>
      </c>
      <c r="N628" s="239">
        <v>23.2</v>
      </c>
      <c r="O628" s="239"/>
      <c r="Q628" s="221">
        <v>10</v>
      </c>
      <c r="R628" s="112">
        <f t="shared" si="58"/>
        <v>0.18499999999999997</v>
      </c>
      <c r="S628" s="223">
        <f t="shared" si="60"/>
        <v>13.134999999999998</v>
      </c>
      <c r="T628" s="223">
        <f t="shared" si="59"/>
        <v>10.065000000000001</v>
      </c>
      <c r="U628" s="221">
        <v>11040</v>
      </c>
      <c r="V628" s="233"/>
      <c r="W628" s="223"/>
      <c r="X628" s="196">
        <f t="shared" si="57"/>
        <v>71</v>
      </c>
    </row>
    <row r="629" spans="1:24" s="221" customFormat="1">
      <c r="A629" s="221" t="s">
        <v>1244</v>
      </c>
      <c r="B629" s="195" t="s">
        <v>1236</v>
      </c>
      <c r="E629" s="226"/>
      <c r="F629" s="226" t="s">
        <v>908</v>
      </c>
      <c r="G629" s="220" t="str">
        <f t="shared" si="56"/>
        <v>23/5/2008</v>
      </c>
      <c r="H629" s="221">
        <v>23</v>
      </c>
      <c r="I629" s="221">
        <v>5</v>
      </c>
      <c r="J629" s="221">
        <v>2008</v>
      </c>
      <c r="K629" s="221" t="s">
        <v>184</v>
      </c>
      <c r="L629" s="226"/>
      <c r="M629" s="221" t="s">
        <v>869</v>
      </c>
      <c r="N629" s="239">
        <v>23.2</v>
      </c>
      <c r="O629" s="239"/>
      <c r="Q629" s="221">
        <v>10</v>
      </c>
      <c r="R629" s="112">
        <f t="shared" si="58"/>
        <v>0.18499999999999997</v>
      </c>
      <c r="S629" s="223">
        <f t="shared" si="60"/>
        <v>13.134999999999998</v>
      </c>
      <c r="T629" s="223">
        <f t="shared" si="59"/>
        <v>10.065000000000001</v>
      </c>
      <c r="U629" s="221">
        <v>11040</v>
      </c>
      <c r="V629" s="233"/>
      <c r="W629" s="223"/>
      <c r="X629" s="196">
        <f t="shared" si="57"/>
        <v>71</v>
      </c>
    </row>
    <row r="630" spans="1:24" s="221" customFormat="1">
      <c r="A630" s="221" t="s">
        <v>1243</v>
      </c>
      <c r="B630" s="195" t="s">
        <v>1236</v>
      </c>
      <c r="E630" s="226"/>
      <c r="F630" s="226" t="s">
        <v>908</v>
      </c>
      <c r="G630" s="220" t="str">
        <f t="shared" si="56"/>
        <v>23/5/2008</v>
      </c>
      <c r="H630" s="221">
        <v>23</v>
      </c>
      <c r="I630" s="221">
        <v>5</v>
      </c>
      <c r="J630" s="221">
        <v>2008</v>
      </c>
      <c r="K630" s="221" t="s">
        <v>184</v>
      </c>
      <c r="L630" s="226"/>
      <c r="M630" s="221" t="s">
        <v>869</v>
      </c>
      <c r="N630" s="239">
        <v>23.2</v>
      </c>
      <c r="O630" s="239"/>
      <c r="Q630" s="221">
        <v>10</v>
      </c>
      <c r="R630" s="112">
        <f t="shared" si="58"/>
        <v>0.18499999999999997</v>
      </c>
      <c r="S630" s="223">
        <f t="shared" si="60"/>
        <v>13.134999999999998</v>
      </c>
      <c r="T630" s="223">
        <f t="shared" si="59"/>
        <v>10.065000000000001</v>
      </c>
      <c r="U630" s="221">
        <v>11040</v>
      </c>
      <c r="V630" s="233"/>
      <c r="W630" s="223"/>
      <c r="X630" s="196">
        <f t="shared" si="57"/>
        <v>71</v>
      </c>
    </row>
    <row r="631" spans="1:24" s="221" customFormat="1">
      <c r="A631" s="221" t="s">
        <v>1242</v>
      </c>
      <c r="B631" s="195" t="s">
        <v>1236</v>
      </c>
      <c r="E631" s="226"/>
      <c r="F631" s="226" t="s">
        <v>908</v>
      </c>
      <c r="G631" s="220" t="str">
        <f t="shared" si="56"/>
        <v>23/5/2008</v>
      </c>
      <c r="H631" s="221">
        <v>23</v>
      </c>
      <c r="I631" s="221">
        <v>5</v>
      </c>
      <c r="J631" s="221">
        <v>2008</v>
      </c>
      <c r="K631" s="221" t="s">
        <v>184</v>
      </c>
      <c r="L631" s="226"/>
      <c r="M631" s="221" t="s">
        <v>869</v>
      </c>
      <c r="N631" s="239">
        <v>23.2</v>
      </c>
      <c r="O631" s="239"/>
      <c r="Q631" s="221">
        <v>10</v>
      </c>
      <c r="R631" s="112">
        <f t="shared" si="58"/>
        <v>0.18499999999999997</v>
      </c>
      <c r="S631" s="223">
        <f t="shared" si="60"/>
        <v>13.134999999999998</v>
      </c>
      <c r="T631" s="223">
        <f t="shared" si="59"/>
        <v>10.065000000000001</v>
      </c>
      <c r="U631" s="221">
        <v>11040</v>
      </c>
      <c r="V631" s="233"/>
      <c r="W631" s="223"/>
      <c r="X631" s="196">
        <f t="shared" si="57"/>
        <v>71</v>
      </c>
    </row>
    <row r="632" spans="1:24" s="221" customFormat="1">
      <c r="A632" s="221" t="s">
        <v>1241</v>
      </c>
      <c r="B632" s="195" t="s">
        <v>1236</v>
      </c>
      <c r="E632" s="226"/>
      <c r="F632" s="226" t="s">
        <v>908</v>
      </c>
      <c r="G632" s="220" t="str">
        <f t="shared" si="56"/>
        <v>23/5/2008</v>
      </c>
      <c r="H632" s="221">
        <v>23</v>
      </c>
      <c r="I632" s="221">
        <v>5</v>
      </c>
      <c r="J632" s="221">
        <v>2008</v>
      </c>
      <c r="K632" s="221" t="s">
        <v>184</v>
      </c>
      <c r="L632" s="226"/>
      <c r="M632" s="221" t="s">
        <v>869</v>
      </c>
      <c r="N632" s="239">
        <v>23.2</v>
      </c>
      <c r="O632" s="239"/>
      <c r="Q632" s="221">
        <v>10</v>
      </c>
      <c r="R632" s="112">
        <f t="shared" si="58"/>
        <v>0.18499999999999997</v>
      </c>
      <c r="S632" s="223">
        <f t="shared" si="60"/>
        <v>13.134999999999998</v>
      </c>
      <c r="T632" s="223">
        <f t="shared" si="59"/>
        <v>10.065000000000001</v>
      </c>
      <c r="U632" s="221">
        <v>11040</v>
      </c>
      <c r="V632" s="233"/>
      <c r="W632" s="223"/>
      <c r="X632" s="196">
        <f t="shared" si="57"/>
        <v>71</v>
      </c>
    </row>
    <row r="633" spans="1:24" s="221" customFormat="1">
      <c r="A633" s="221" t="s">
        <v>1240</v>
      </c>
      <c r="B633" s="195" t="s">
        <v>1236</v>
      </c>
      <c r="E633" s="226"/>
      <c r="F633" s="226" t="s">
        <v>908</v>
      </c>
      <c r="G633" s="220" t="str">
        <f t="shared" si="56"/>
        <v>23/5/2008</v>
      </c>
      <c r="H633" s="221">
        <v>23</v>
      </c>
      <c r="I633" s="221">
        <v>5</v>
      </c>
      <c r="J633" s="221">
        <v>2008</v>
      </c>
      <c r="K633" s="221" t="s">
        <v>184</v>
      </c>
      <c r="L633" s="226"/>
      <c r="M633" s="221" t="s">
        <v>869</v>
      </c>
      <c r="N633" s="239">
        <v>23.2</v>
      </c>
      <c r="O633" s="239"/>
      <c r="Q633" s="221">
        <v>10</v>
      </c>
      <c r="R633" s="112">
        <f t="shared" si="58"/>
        <v>0.18499999999999997</v>
      </c>
      <c r="S633" s="223">
        <f t="shared" si="60"/>
        <v>13.134999999999998</v>
      </c>
      <c r="T633" s="223">
        <f t="shared" si="59"/>
        <v>10.065000000000001</v>
      </c>
      <c r="U633" s="221">
        <v>11040</v>
      </c>
      <c r="V633" s="233"/>
      <c r="W633" s="223"/>
      <c r="X633" s="196">
        <f t="shared" si="57"/>
        <v>71</v>
      </c>
    </row>
    <row r="634" spans="1:24" s="221" customFormat="1">
      <c r="A634" s="221" t="s">
        <v>1239</v>
      </c>
      <c r="B634" s="195" t="s">
        <v>1236</v>
      </c>
      <c r="E634" s="226"/>
      <c r="F634" s="226" t="s">
        <v>908</v>
      </c>
      <c r="G634" s="220" t="str">
        <f t="shared" si="56"/>
        <v>23/5/2008</v>
      </c>
      <c r="H634" s="221">
        <v>23</v>
      </c>
      <c r="I634" s="221">
        <v>5</v>
      </c>
      <c r="J634" s="221">
        <v>2008</v>
      </c>
      <c r="K634" s="221" t="s">
        <v>184</v>
      </c>
      <c r="L634" s="226"/>
      <c r="M634" s="221" t="s">
        <v>869</v>
      </c>
      <c r="N634" s="239">
        <v>23.2</v>
      </c>
      <c r="O634" s="239"/>
      <c r="Q634" s="221">
        <v>10</v>
      </c>
      <c r="R634" s="112">
        <f t="shared" si="58"/>
        <v>0.18499999999999997</v>
      </c>
      <c r="S634" s="223">
        <f t="shared" si="60"/>
        <v>13.134999999999998</v>
      </c>
      <c r="T634" s="223">
        <f t="shared" si="59"/>
        <v>10.065000000000001</v>
      </c>
      <c r="U634" s="221">
        <v>11040</v>
      </c>
      <c r="V634" s="233"/>
      <c r="W634" s="223"/>
      <c r="X634" s="196">
        <f t="shared" si="57"/>
        <v>71</v>
      </c>
    </row>
    <row r="635" spans="1:24" s="221" customFormat="1">
      <c r="A635" s="221" t="s">
        <v>1238</v>
      </c>
      <c r="B635" s="195" t="s">
        <v>1236</v>
      </c>
      <c r="E635" s="226"/>
      <c r="F635" s="226" t="s">
        <v>908</v>
      </c>
      <c r="G635" s="220" t="str">
        <f t="shared" si="56"/>
        <v>23/5/2008</v>
      </c>
      <c r="H635" s="221">
        <v>23</v>
      </c>
      <c r="I635" s="221">
        <v>5</v>
      </c>
      <c r="J635" s="221">
        <v>2008</v>
      </c>
      <c r="K635" s="221" t="s">
        <v>184</v>
      </c>
      <c r="L635" s="226"/>
      <c r="M635" s="221" t="s">
        <v>869</v>
      </c>
      <c r="N635" s="239">
        <v>23.2</v>
      </c>
      <c r="O635" s="239"/>
      <c r="Q635" s="221">
        <v>10</v>
      </c>
      <c r="R635" s="112">
        <f t="shared" si="58"/>
        <v>0.18499999999999997</v>
      </c>
      <c r="S635" s="223">
        <f t="shared" si="60"/>
        <v>13.134999999999998</v>
      </c>
      <c r="T635" s="223">
        <f t="shared" si="59"/>
        <v>10.065000000000001</v>
      </c>
      <c r="U635" s="221">
        <v>11040</v>
      </c>
      <c r="V635" s="233"/>
      <c r="W635" s="223"/>
      <c r="X635" s="196">
        <f t="shared" si="57"/>
        <v>71</v>
      </c>
    </row>
    <row r="636" spans="1:24" s="221" customFormat="1">
      <c r="A636" s="221" t="s">
        <v>1237</v>
      </c>
      <c r="B636" s="195" t="s">
        <v>1236</v>
      </c>
      <c r="E636" s="226"/>
      <c r="F636" s="226" t="s">
        <v>908</v>
      </c>
      <c r="G636" s="220" t="str">
        <f t="shared" si="56"/>
        <v>23/5/2008</v>
      </c>
      <c r="H636" s="221">
        <v>23</v>
      </c>
      <c r="I636" s="221">
        <v>5</v>
      </c>
      <c r="J636" s="221">
        <v>2008</v>
      </c>
      <c r="K636" s="221" t="s">
        <v>184</v>
      </c>
      <c r="L636" s="226"/>
      <c r="M636" s="221" t="s">
        <v>869</v>
      </c>
      <c r="N636" s="239">
        <v>23.2</v>
      </c>
      <c r="O636" s="239"/>
      <c r="Q636" s="221">
        <v>10</v>
      </c>
      <c r="R636" s="112">
        <f t="shared" si="58"/>
        <v>0.18499999999999997</v>
      </c>
      <c r="S636" s="223">
        <f t="shared" si="60"/>
        <v>13.134999999999998</v>
      </c>
      <c r="T636" s="223">
        <f t="shared" si="59"/>
        <v>10.065000000000001</v>
      </c>
      <c r="U636" s="221">
        <v>11040</v>
      </c>
      <c r="V636" s="233"/>
      <c r="W636" s="223"/>
      <c r="X636" s="196">
        <f t="shared" si="57"/>
        <v>71</v>
      </c>
    </row>
    <row r="637" spans="1:24" s="221" customFormat="1">
      <c r="A637" s="221" t="s">
        <v>1235</v>
      </c>
      <c r="B637" s="195" t="s">
        <v>1234</v>
      </c>
      <c r="E637" s="226"/>
      <c r="F637" s="226"/>
      <c r="G637" s="220" t="str">
        <f t="shared" si="56"/>
        <v>23/5/2008</v>
      </c>
      <c r="H637" s="221">
        <v>23</v>
      </c>
      <c r="I637" s="221">
        <v>5</v>
      </c>
      <c r="J637" s="221">
        <v>2008</v>
      </c>
      <c r="K637" s="221" t="s">
        <v>184</v>
      </c>
      <c r="L637" s="226"/>
      <c r="M637" s="221" t="s">
        <v>869</v>
      </c>
      <c r="N637" s="239">
        <v>6960</v>
      </c>
      <c r="O637" s="239"/>
      <c r="Q637" s="221">
        <v>10</v>
      </c>
      <c r="R637" s="112">
        <f t="shared" si="58"/>
        <v>57.991666666666667</v>
      </c>
      <c r="S637" s="223">
        <f t="shared" si="60"/>
        <v>4117.4083333333338</v>
      </c>
      <c r="T637" s="223">
        <f t="shared" si="59"/>
        <v>2842.5916666666662</v>
      </c>
      <c r="U637" s="221">
        <v>11040</v>
      </c>
      <c r="V637" s="233"/>
      <c r="W637" s="223"/>
      <c r="X637" s="196">
        <f t="shared" si="57"/>
        <v>71</v>
      </c>
    </row>
    <row r="638" spans="1:24" s="221" customFormat="1" ht="31.5">
      <c r="A638" s="221" t="s">
        <v>1233</v>
      </c>
      <c r="B638" s="195" t="s">
        <v>1228</v>
      </c>
      <c r="D638" s="221" t="s">
        <v>1227</v>
      </c>
      <c r="E638" s="226"/>
      <c r="F638" s="226" t="s">
        <v>908</v>
      </c>
      <c r="G638" s="220" t="str">
        <f t="shared" si="56"/>
        <v>23/5/2008</v>
      </c>
      <c r="H638" s="221">
        <v>23</v>
      </c>
      <c r="I638" s="221">
        <v>5</v>
      </c>
      <c r="J638" s="221">
        <v>2008</v>
      </c>
      <c r="K638" s="221" t="s">
        <v>184</v>
      </c>
      <c r="L638" s="226"/>
      <c r="M638" s="221" t="s">
        <v>869</v>
      </c>
      <c r="N638" s="239">
        <v>1975.48</v>
      </c>
      <c r="O638" s="239"/>
      <c r="Q638" s="221">
        <v>10</v>
      </c>
      <c r="R638" s="112">
        <f t="shared" si="58"/>
        <v>16.454000000000001</v>
      </c>
      <c r="S638" s="223">
        <f t="shared" si="60"/>
        <v>1168.2340000000002</v>
      </c>
      <c r="T638" s="223">
        <f t="shared" si="59"/>
        <v>807.24599999999987</v>
      </c>
      <c r="U638" s="221">
        <v>11040</v>
      </c>
      <c r="V638" s="233"/>
      <c r="W638" s="223"/>
      <c r="X638" s="196">
        <f t="shared" si="57"/>
        <v>71</v>
      </c>
    </row>
    <row r="639" spans="1:24" s="221" customFormat="1" ht="31.5">
      <c r="A639" s="221" t="s">
        <v>1232</v>
      </c>
      <c r="B639" s="195" t="s">
        <v>1228</v>
      </c>
      <c r="D639" s="221" t="s">
        <v>1227</v>
      </c>
      <c r="E639" s="226"/>
      <c r="F639" s="226" t="s">
        <v>908</v>
      </c>
      <c r="G639" s="220" t="str">
        <f t="shared" si="56"/>
        <v>23/5/2008</v>
      </c>
      <c r="H639" s="221">
        <v>23</v>
      </c>
      <c r="I639" s="221">
        <v>5</v>
      </c>
      <c r="J639" s="221">
        <v>2008</v>
      </c>
      <c r="K639" s="221" t="s">
        <v>184</v>
      </c>
      <c r="L639" s="226"/>
      <c r="M639" s="221" t="s">
        <v>869</v>
      </c>
      <c r="N639" s="239">
        <v>1975.48</v>
      </c>
      <c r="O639" s="239"/>
      <c r="Q639" s="221">
        <v>10</v>
      </c>
      <c r="R639" s="112">
        <f t="shared" si="58"/>
        <v>16.454000000000001</v>
      </c>
      <c r="S639" s="223">
        <f t="shared" si="60"/>
        <v>1168.2340000000002</v>
      </c>
      <c r="T639" s="223">
        <f t="shared" si="59"/>
        <v>807.24599999999987</v>
      </c>
      <c r="U639" s="221">
        <v>11040</v>
      </c>
      <c r="V639" s="233"/>
      <c r="W639" s="223"/>
      <c r="X639" s="196">
        <f t="shared" si="57"/>
        <v>71</v>
      </c>
    </row>
    <row r="640" spans="1:24" s="221" customFormat="1" ht="31.5">
      <c r="A640" s="221" t="s">
        <v>1231</v>
      </c>
      <c r="B640" s="195" t="s">
        <v>1228</v>
      </c>
      <c r="D640" s="221" t="s">
        <v>1227</v>
      </c>
      <c r="E640" s="226"/>
      <c r="F640" s="226" t="s">
        <v>908</v>
      </c>
      <c r="G640" s="220" t="str">
        <f t="shared" si="56"/>
        <v>23/5/2008</v>
      </c>
      <c r="H640" s="221">
        <v>23</v>
      </c>
      <c r="I640" s="221">
        <v>5</v>
      </c>
      <c r="J640" s="221">
        <v>2008</v>
      </c>
      <c r="K640" s="221" t="s">
        <v>184</v>
      </c>
      <c r="L640" s="226"/>
      <c r="M640" s="221" t="s">
        <v>869</v>
      </c>
      <c r="N640" s="239">
        <v>1975.48</v>
      </c>
      <c r="O640" s="239"/>
      <c r="Q640" s="221">
        <v>10</v>
      </c>
      <c r="R640" s="112">
        <f t="shared" si="58"/>
        <v>16.454000000000001</v>
      </c>
      <c r="S640" s="223">
        <f t="shared" si="60"/>
        <v>1168.2340000000002</v>
      </c>
      <c r="T640" s="223">
        <f t="shared" si="59"/>
        <v>807.24599999999987</v>
      </c>
      <c r="U640" s="221">
        <v>11040</v>
      </c>
      <c r="V640" s="233"/>
      <c r="W640" s="223"/>
      <c r="X640" s="196">
        <f t="shared" si="57"/>
        <v>71</v>
      </c>
    </row>
    <row r="641" spans="1:24" s="221" customFormat="1" ht="31.5">
      <c r="A641" s="221" t="s">
        <v>1230</v>
      </c>
      <c r="B641" s="195" t="s">
        <v>1228</v>
      </c>
      <c r="D641" s="221" t="s">
        <v>1227</v>
      </c>
      <c r="E641" s="226"/>
      <c r="F641" s="226" t="s">
        <v>908</v>
      </c>
      <c r="G641" s="220" t="str">
        <f t="shared" si="56"/>
        <v>23/5/2008</v>
      </c>
      <c r="H641" s="221">
        <v>23</v>
      </c>
      <c r="I641" s="221">
        <v>5</v>
      </c>
      <c r="J641" s="221">
        <v>2008</v>
      </c>
      <c r="K641" s="221" t="s">
        <v>184</v>
      </c>
      <c r="L641" s="226"/>
      <c r="M641" s="221" t="s">
        <v>869</v>
      </c>
      <c r="N641" s="239">
        <v>1975.48</v>
      </c>
      <c r="O641" s="239"/>
      <c r="Q641" s="221">
        <v>10</v>
      </c>
      <c r="R641" s="112">
        <f t="shared" si="58"/>
        <v>16.454000000000001</v>
      </c>
      <c r="S641" s="223">
        <f t="shared" si="60"/>
        <v>1168.2340000000002</v>
      </c>
      <c r="T641" s="223">
        <f t="shared" si="59"/>
        <v>807.24599999999987</v>
      </c>
      <c r="U641" s="221">
        <v>11040</v>
      </c>
      <c r="V641" s="233"/>
      <c r="W641" s="223"/>
      <c r="X641" s="196">
        <f t="shared" si="57"/>
        <v>71</v>
      </c>
    </row>
    <row r="642" spans="1:24" s="221" customFormat="1" ht="31.5">
      <c r="A642" s="221" t="s">
        <v>1229</v>
      </c>
      <c r="B642" s="195" t="s">
        <v>1228</v>
      </c>
      <c r="D642" s="221" t="s">
        <v>1227</v>
      </c>
      <c r="E642" s="226"/>
      <c r="F642" s="226" t="s">
        <v>908</v>
      </c>
      <c r="G642" s="220" t="str">
        <f t="shared" si="56"/>
        <v>23/5/2008</v>
      </c>
      <c r="H642" s="221">
        <v>23</v>
      </c>
      <c r="I642" s="221">
        <v>5</v>
      </c>
      <c r="J642" s="221">
        <v>2008</v>
      </c>
      <c r="K642" s="221" t="s">
        <v>184</v>
      </c>
      <c r="L642" s="226"/>
      <c r="M642" s="221" t="s">
        <v>869</v>
      </c>
      <c r="N642" s="239">
        <v>1975.48</v>
      </c>
      <c r="O642" s="239"/>
      <c r="Q642" s="221">
        <v>10</v>
      </c>
      <c r="R642" s="112">
        <f t="shared" si="58"/>
        <v>16.454000000000001</v>
      </c>
      <c r="S642" s="223">
        <f t="shared" si="60"/>
        <v>1168.2340000000002</v>
      </c>
      <c r="T642" s="223">
        <f t="shared" si="59"/>
        <v>807.24599999999987</v>
      </c>
      <c r="U642" s="221">
        <v>11040</v>
      </c>
      <c r="V642" s="233"/>
      <c r="W642" s="223"/>
      <c r="X642" s="196">
        <f t="shared" si="57"/>
        <v>71</v>
      </c>
    </row>
    <row r="643" spans="1:24" s="221" customFormat="1">
      <c r="A643" s="221" t="s">
        <v>1226</v>
      </c>
      <c r="B643" s="195" t="s">
        <v>1221</v>
      </c>
      <c r="D643" s="221" t="s">
        <v>1220</v>
      </c>
      <c r="E643" s="226"/>
      <c r="F643" s="226" t="s">
        <v>908</v>
      </c>
      <c r="G643" s="220" t="str">
        <f t="shared" si="56"/>
        <v>23/5/2008</v>
      </c>
      <c r="H643" s="221">
        <v>23</v>
      </c>
      <c r="I643" s="221">
        <v>5</v>
      </c>
      <c r="J643" s="221">
        <v>2008</v>
      </c>
      <c r="K643" s="221" t="s">
        <v>184</v>
      </c>
      <c r="L643" s="226"/>
      <c r="M643" s="221" t="s">
        <v>869</v>
      </c>
      <c r="N643" s="239">
        <v>4372.04</v>
      </c>
      <c r="O643" s="239"/>
      <c r="Q643" s="221">
        <v>10</v>
      </c>
      <c r="R643" s="112">
        <f t="shared" si="58"/>
        <v>36.425333333333334</v>
      </c>
      <c r="S643" s="223">
        <f t="shared" si="60"/>
        <v>2586.1986666666667</v>
      </c>
      <c r="T643" s="223">
        <f t="shared" si="59"/>
        <v>1785.8413333333333</v>
      </c>
      <c r="U643" s="221">
        <v>11040</v>
      </c>
      <c r="V643" s="233"/>
      <c r="W643" s="223"/>
      <c r="X643" s="196">
        <f t="shared" si="57"/>
        <v>71</v>
      </c>
    </row>
    <row r="644" spans="1:24" s="221" customFormat="1">
      <c r="A644" s="221" t="s">
        <v>1225</v>
      </c>
      <c r="B644" s="195" t="s">
        <v>1221</v>
      </c>
      <c r="D644" s="221" t="s">
        <v>1220</v>
      </c>
      <c r="E644" s="226"/>
      <c r="F644" s="226" t="s">
        <v>908</v>
      </c>
      <c r="G644" s="220" t="str">
        <f t="shared" si="56"/>
        <v>23/5/2008</v>
      </c>
      <c r="H644" s="221">
        <v>23</v>
      </c>
      <c r="I644" s="221">
        <v>5</v>
      </c>
      <c r="J644" s="221">
        <v>2008</v>
      </c>
      <c r="K644" s="221" t="s">
        <v>184</v>
      </c>
      <c r="L644" s="226"/>
      <c r="M644" s="221" t="s">
        <v>869</v>
      </c>
      <c r="N644" s="239">
        <v>4372.04</v>
      </c>
      <c r="O644" s="239"/>
      <c r="Q644" s="221">
        <v>10</v>
      </c>
      <c r="R644" s="112">
        <f t="shared" si="58"/>
        <v>36.425333333333334</v>
      </c>
      <c r="S644" s="223">
        <f t="shared" si="60"/>
        <v>2586.1986666666667</v>
      </c>
      <c r="T644" s="223">
        <f t="shared" si="59"/>
        <v>1785.8413333333333</v>
      </c>
      <c r="U644" s="221">
        <v>11040</v>
      </c>
      <c r="V644" s="233"/>
      <c r="W644" s="223"/>
      <c r="X644" s="196">
        <f t="shared" si="57"/>
        <v>71</v>
      </c>
    </row>
    <row r="645" spans="1:24" s="221" customFormat="1">
      <c r="A645" s="221" t="s">
        <v>1224</v>
      </c>
      <c r="B645" s="195" t="s">
        <v>1221</v>
      </c>
      <c r="D645" s="221" t="s">
        <v>1220</v>
      </c>
      <c r="E645" s="226"/>
      <c r="F645" s="226" t="s">
        <v>908</v>
      </c>
      <c r="G645" s="220" t="str">
        <f t="shared" si="56"/>
        <v>23/5/2008</v>
      </c>
      <c r="H645" s="221">
        <v>23</v>
      </c>
      <c r="I645" s="221">
        <v>5</v>
      </c>
      <c r="J645" s="221">
        <v>2008</v>
      </c>
      <c r="K645" s="221" t="s">
        <v>184</v>
      </c>
      <c r="L645" s="226"/>
      <c r="M645" s="221" t="s">
        <v>869</v>
      </c>
      <c r="N645" s="239">
        <v>4372.04</v>
      </c>
      <c r="O645" s="239"/>
      <c r="Q645" s="221">
        <v>10</v>
      </c>
      <c r="R645" s="112">
        <f t="shared" si="58"/>
        <v>36.425333333333334</v>
      </c>
      <c r="S645" s="223">
        <f t="shared" si="60"/>
        <v>2586.1986666666667</v>
      </c>
      <c r="T645" s="223">
        <f t="shared" si="59"/>
        <v>1785.8413333333333</v>
      </c>
      <c r="U645" s="221">
        <v>11040</v>
      </c>
      <c r="V645" s="233"/>
      <c r="W645" s="223"/>
      <c r="X645" s="196">
        <f t="shared" si="57"/>
        <v>71</v>
      </c>
    </row>
    <row r="646" spans="1:24" s="221" customFormat="1">
      <c r="A646" s="221" t="s">
        <v>1223</v>
      </c>
      <c r="B646" s="195" t="s">
        <v>1221</v>
      </c>
      <c r="D646" s="221" t="s">
        <v>1220</v>
      </c>
      <c r="E646" s="226"/>
      <c r="F646" s="226" t="s">
        <v>908</v>
      </c>
      <c r="G646" s="220" t="str">
        <f t="shared" si="56"/>
        <v>23/5/2008</v>
      </c>
      <c r="H646" s="221">
        <v>23</v>
      </c>
      <c r="I646" s="221">
        <v>5</v>
      </c>
      <c r="J646" s="221">
        <v>2008</v>
      </c>
      <c r="K646" s="221" t="s">
        <v>184</v>
      </c>
      <c r="L646" s="226"/>
      <c r="M646" s="221" t="s">
        <v>869</v>
      </c>
      <c r="N646" s="239">
        <v>4372.04</v>
      </c>
      <c r="O646" s="239"/>
      <c r="Q646" s="221">
        <v>10</v>
      </c>
      <c r="R646" s="112">
        <f t="shared" si="58"/>
        <v>36.425333333333334</v>
      </c>
      <c r="S646" s="223">
        <f t="shared" si="60"/>
        <v>2586.1986666666667</v>
      </c>
      <c r="T646" s="223">
        <f t="shared" si="59"/>
        <v>1785.8413333333333</v>
      </c>
      <c r="U646" s="221">
        <v>11040</v>
      </c>
      <c r="V646" s="233"/>
      <c r="W646" s="223"/>
      <c r="X646" s="196">
        <f t="shared" si="57"/>
        <v>71</v>
      </c>
    </row>
    <row r="647" spans="1:24" s="221" customFormat="1">
      <c r="A647" s="221" t="s">
        <v>1222</v>
      </c>
      <c r="B647" s="195" t="s">
        <v>1221</v>
      </c>
      <c r="D647" s="221" t="s">
        <v>1220</v>
      </c>
      <c r="E647" s="226"/>
      <c r="F647" s="226" t="s">
        <v>908</v>
      </c>
      <c r="G647" s="220" t="str">
        <f t="shared" ref="G647:G710" si="61">CONCATENATE(H647,"/",I647,"/",J647,)</f>
        <v>23/5/2008</v>
      </c>
      <c r="H647" s="221">
        <v>23</v>
      </c>
      <c r="I647" s="221">
        <v>5</v>
      </c>
      <c r="J647" s="221">
        <v>2008</v>
      </c>
      <c r="K647" s="221" t="s">
        <v>184</v>
      </c>
      <c r="L647" s="226"/>
      <c r="M647" s="221" t="s">
        <v>869</v>
      </c>
      <c r="N647" s="239">
        <v>4372.04</v>
      </c>
      <c r="O647" s="239"/>
      <c r="Q647" s="221">
        <v>10</v>
      </c>
      <c r="R647" s="112">
        <f t="shared" si="58"/>
        <v>36.425333333333334</v>
      </c>
      <c r="S647" s="223">
        <f t="shared" si="60"/>
        <v>2586.1986666666667</v>
      </c>
      <c r="T647" s="223">
        <f t="shared" si="59"/>
        <v>1785.8413333333333</v>
      </c>
      <c r="U647" s="221">
        <v>11040</v>
      </c>
      <c r="V647" s="233"/>
      <c r="W647" s="223"/>
      <c r="X647" s="196">
        <f t="shared" ref="X647:X710" si="62">IF((DATEDIF(G647,X$4,"m"))&gt;=120,120,(DATEDIF(G647,X$4,"m")))</f>
        <v>71</v>
      </c>
    </row>
    <row r="648" spans="1:24" s="221" customFormat="1" ht="31.5">
      <c r="A648" s="488" t="s">
        <v>1219</v>
      </c>
      <c r="B648" s="495" t="s">
        <v>2792</v>
      </c>
      <c r="C648" s="488"/>
      <c r="D648" s="488"/>
      <c r="E648" s="483"/>
      <c r="F648" s="483" t="s">
        <v>908</v>
      </c>
      <c r="G648" s="484" t="str">
        <f t="shared" si="61"/>
        <v>23/5/2008</v>
      </c>
      <c r="H648" s="488">
        <v>23</v>
      </c>
      <c r="I648" s="488">
        <v>5</v>
      </c>
      <c r="J648" s="488">
        <v>2008</v>
      </c>
      <c r="K648" s="488" t="s">
        <v>184</v>
      </c>
      <c r="L648" s="483"/>
      <c r="M648" s="488" t="s">
        <v>869</v>
      </c>
      <c r="N648" s="496">
        <v>1577.6</v>
      </c>
      <c r="O648" s="496" t="s">
        <v>1215</v>
      </c>
      <c r="P648" s="488"/>
      <c r="Q648" s="488">
        <v>10</v>
      </c>
      <c r="R648" s="489">
        <f t="shared" si="58"/>
        <v>13.138333333333334</v>
      </c>
      <c r="S648" s="490">
        <f t="shared" si="60"/>
        <v>932.82166666666672</v>
      </c>
      <c r="T648" s="490">
        <f t="shared" si="59"/>
        <v>644.77833333333319</v>
      </c>
      <c r="U648" s="488">
        <v>11040</v>
      </c>
      <c r="V648" s="491"/>
      <c r="W648" s="490"/>
      <c r="X648" s="492">
        <f t="shared" si="62"/>
        <v>71</v>
      </c>
    </row>
    <row r="649" spans="1:24" s="221" customFormat="1" ht="31.5">
      <c r="A649" s="488" t="s">
        <v>1218</v>
      </c>
      <c r="B649" s="495" t="s">
        <v>2793</v>
      </c>
      <c r="C649" s="488"/>
      <c r="D649" s="488"/>
      <c r="E649" s="483"/>
      <c r="F649" s="483" t="s">
        <v>908</v>
      </c>
      <c r="G649" s="484" t="str">
        <f t="shared" si="61"/>
        <v>23/5/2008</v>
      </c>
      <c r="H649" s="488">
        <v>23</v>
      </c>
      <c r="I649" s="488">
        <v>5</v>
      </c>
      <c r="J649" s="488">
        <v>2008</v>
      </c>
      <c r="K649" s="488" t="s">
        <v>184</v>
      </c>
      <c r="L649" s="483"/>
      <c r="M649" s="488" t="s">
        <v>869</v>
      </c>
      <c r="N649" s="496">
        <v>1577.6</v>
      </c>
      <c r="O649" s="496" t="s">
        <v>1215</v>
      </c>
      <c r="P649" s="488"/>
      <c r="Q649" s="488">
        <v>10</v>
      </c>
      <c r="R649" s="489">
        <f t="shared" ref="R649:R712" si="63">(((N649)-1)/10)/12</f>
        <v>13.138333333333334</v>
      </c>
      <c r="S649" s="490">
        <f t="shared" si="60"/>
        <v>932.82166666666672</v>
      </c>
      <c r="T649" s="490">
        <f t="shared" si="59"/>
        <v>644.77833333333319</v>
      </c>
      <c r="U649" s="488">
        <v>11040</v>
      </c>
      <c r="V649" s="491"/>
      <c r="W649" s="490"/>
      <c r="X649" s="492">
        <f t="shared" si="62"/>
        <v>71</v>
      </c>
    </row>
    <row r="650" spans="1:24" s="221" customFormat="1" ht="31.5">
      <c r="A650" s="488" t="s">
        <v>1217</v>
      </c>
      <c r="B650" s="495" t="s">
        <v>1202</v>
      </c>
      <c r="C650" s="488"/>
      <c r="D650" s="488"/>
      <c r="E650" s="483"/>
      <c r="F650" s="483" t="s">
        <v>908</v>
      </c>
      <c r="G650" s="484" t="str">
        <f t="shared" si="61"/>
        <v>23/5/2008</v>
      </c>
      <c r="H650" s="488">
        <v>23</v>
      </c>
      <c r="I650" s="488">
        <v>5</v>
      </c>
      <c r="J650" s="488">
        <v>2008</v>
      </c>
      <c r="K650" s="488" t="s">
        <v>184</v>
      </c>
      <c r="L650" s="483"/>
      <c r="M650" s="488" t="s">
        <v>869</v>
      </c>
      <c r="N650" s="496">
        <v>1577.6</v>
      </c>
      <c r="O650" s="496" t="s">
        <v>1215</v>
      </c>
      <c r="P650" s="488"/>
      <c r="Q650" s="488">
        <v>10</v>
      </c>
      <c r="R650" s="489">
        <f t="shared" si="63"/>
        <v>13.138333333333334</v>
      </c>
      <c r="S650" s="490">
        <f t="shared" si="60"/>
        <v>932.82166666666672</v>
      </c>
      <c r="T650" s="490">
        <f t="shared" ref="T650:T713" si="64">N650-S650</f>
        <v>644.77833333333319</v>
      </c>
      <c r="U650" s="488">
        <v>11040</v>
      </c>
      <c r="V650" s="491"/>
      <c r="W650" s="490"/>
      <c r="X650" s="492">
        <f t="shared" si="62"/>
        <v>71</v>
      </c>
    </row>
    <row r="651" spans="1:24" s="221" customFormat="1" ht="31.5">
      <c r="A651" s="488" t="s">
        <v>1216</v>
      </c>
      <c r="B651" s="495" t="s">
        <v>2794</v>
      </c>
      <c r="C651" s="488"/>
      <c r="D651" s="488"/>
      <c r="E651" s="483"/>
      <c r="F651" s="483" t="s">
        <v>908</v>
      </c>
      <c r="G651" s="484" t="str">
        <f t="shared" si="61"/>
        <v>23/5/2008</v>
      </c>
      <c r="H651" s="488">
        <v>23</v>
      </c>
      <c r="I651" s="488">
        <v>5</v>
      </c>
      <c r="J651" s="488">
        <v>2008</v>
      </c>
      <c r="K651" s="488" t="s">
        <v>184</v>
      </c>
      <c r="L651" s="483"/>
      <c r="M651" s="488" t="s">
        <v>869</v>
      </c>
      <c r="N651" s="496">
        <v>1577.6</v>
      </c>
      <c r="O651" s="496" t="s">
        <v>1215</v>
      </c>
      <c r="P651" s="488"/>
      <c r="Q651" s="488">
        <v>10</v>
      </c>
      <c r="R651" s="489">
        <f t="shared" si="63"/>
        <v>13.138333333333334</v>
      </c>
      <c r="S651" s="490">
        <f t="shared" si="60"/>
        <v>932.82166666666672</v>
      </c>
      <c r="T651" s="490">
        <f t="shared" si="64"/>
        <v>644.77833333333319</v>
      </c>
      <c r="U651" s="488">
        <v>11040</v>
      </c>
      <c r="V651" s="491"/>
      <c r="W651" s="490"/>
      <c r="X651" s="492">
        <f t="shared" si="62"/>
        <v>71</v>
      </c>
    </row>
    <row r="652" spans="1:24" s="221" customFormat="1" ht="31.5">
      <c r="A652" s="488" t="s">
        <v>1214</v>
      </c>
      <c r="B652" s="495" t="s">
        <v>2795</v>
      </c>
      <c r="C652" s="488"/>
      <c r="D652" s="488"/>
      <c r="E652" s="483"/>
      <c r="F652" s="483" t="s">
        <v>908</v>
      </c>
      <c r="G652" s="484" t="str">
        <f t="shared" si="61"/>
        <v>23/5/2008</v>
      </c>
      <c r="H652" s="488">
        <v>23</v>
      </c>
      <c r="I652" s="488">
        <v>5</v>
      </c>
      <c r="J652" s="488">
        <v>2008</v>
      </c>
      <c r="K652" s="488" t="s">
        <v>184</v>
      </c>
      <c r="L652" s="483"/>
      <c r="M652" s="488" t="s">
        <v>869</v>
      </c>
      <c r="N652" s="496">
        <v>1577.6</v>
      </c>
      <c r="O652" s="496"/>
      <c r="P652" s="488"/>
      <c r="Q652" s="488">
        <v>10</v>
      </c>
      <c r="R652" s="489">
        <f t="shared" si="63"/>
        <v>13.138333333333334</v>
      </c>
      <c r="S652" s="490">
        <f t="shared" si="60"/>
        <v>932.82166666666672</v>
      </c>
      <c r="T652" s="490">
        <f t="shared" si="64"/>
        <v>644.77833333333319</v>
      </c>
      <c r="U652" s="488">
        <v>11040</v>
      </c>
      <c r="V652" s="491"/>
      <c r="W652" s="490"/>
      <c r="X652" s="492">
        <f t="shared" si="62"/>
        <v>71</v>
      </c>
    </row>
    <row r="653" spans="1:24" s="221" customFormat="1" ht="31.5">
      <c r="A653" s="488" t="s">
        <v>1213</v>
      </c>
      <c r="B653" s="495" t="s">
        <v>2796</v>
      </c>
      <c r="C653" s="488"/>
      <c r="D653" s="488"/>
      <c r="E653" s="483"/>
      <c r="F653" s="483" t="s">
        <v>908</v>
      </c>
      <c r="G653" s="484" t="str">
        <f t="shared" si="61"/>
        <v>23/5/2008</v>
      </c>
      <c r="H653" s="488">
        <v>23</v>
      </c>
      <c r="I653" s="488">
        <v>5</v>
      </c>
      <c r="J653" s="488">
        <v>2008</v>
      </c>
      <c r="K653" s="488" t="s">
        <v>184</v>
      </c>
      <c r="L653" s="483"/>
      <c r="M653" s="488" t="s">
        <v>869</v>
      </c>
      <c r="N653" s="496">
        <v>1577.6</v>
      </c>
      <c r="O653" s="496"/>
      <c r="P653" s="488"/>
      <c r="Q653" s="488">
        <v>10</v>
      </c>
      <c r="R653" s="489">
        <f t="shared" si="63"/>
        <v>13.138333333333334</v>
      </c>
      <c r="S653" s="490">
        <f t="shared" si="60"/>
        <v>932.82166666666672</v>
      </c>
      <c r="T653" s="490">
        <f t="shared" si="64"/>
        <v>644.77833333333319</v>
      </c>
      <c r="U653" s="488">
        <v>11040</v>
      </c>
      <c r="V653" s="491"/>
      <c r="W653" s="490"/>
      <c r="X653" s="492">
        <f t="shared" si="62"/>
        <v>71</v>
      </c>
    </row>
    <row r="654" spans="1:24" s="221" customFormat="1" ht="31.5">
      <c r="A654" s="221" t="s">
        <v>1212</v>
      </c>
      <c r="B654" s="195" t="s">
        <v>1202</v>
      </c>
      <c r="E654" s="226"/>
      <c r="F654" s="226" t="s">
        <v>908</v>
      </c>
      <c r="G654" s="220" t="str">
        <f t="shared" si="61"/>
        <v>23/5/2008</v>
      </c>
      <c r="H654" s="221">
        <v>23</v>
      </c>
      <c r="I654" s="221">
        <v>5</v>
      </c>
      <c r="J654" s="221">
        <v>2008</v>
      </c>
      <c r="K654" s="221" t="s">
        <v>184</v>
      </c>
      <c r="L654" s="226"/>
      <c r="M654" s="221" t="s">
        <v>869</v>
      </c>
      <c r="N654" s="239">
        <v>1577.6</v>
      </c>
      <c r="O654" s="239"/>
      <c r="Q654" s="221">
        <v>10</v>
      </c>
      <c r="R654" s="112">
        <f t="shared" si="63"/>
        <v>13.138333333333334</v>
      </c>
      <c r="S654" s="223">
        <f t="shared" si="60"/>
        <v>932.82166666666672</v>
      </c>
      <c r="T654" s="223">
        <f t="shared" si="64"/>
        <v>644.77833333333319</v>
      </c>
      <c r="U654" s="221">
        <v>11040</v>
      </c>
      <c r="V654" s="233"/>
      <c r="W654" s="223"/>
      <c r="X654" s="196">
        <f t="shared" si="62"/>
        <v>71</v>
      </c>
    </row>
    <row r="655" spans="1:24" s="221" customFormat="1" ht="31.5">
      <c r="A655" s="221" t="s">
        <v>1211</v>
      </c>
      <c r="B655" s="195" t="s">
        <v>1202</v>
      </c>
      <c r="E655" s="226"/>
      <c r="F655" s="226" t="s">
        <v>908</v>
      </c>
      <c r="G655" s="220" t="str">
        <f t="shared" si="61"/>
        <v>23/5/2008</v>
      </c>
      <c r="H655" s="221">
        <v>23</v>
      </c>
      <c r="I655" s="221">
        <v>5</v>
      </c>
      <c r="J655" s="221">
        <v>2008</v>
      </c>
      <c r="K655" s="221" t="s">
        <v>184</v>
      </c>
      <c r="L655" s="226"/>
      <c r="M655" s="221" t="s">
        <v>869</v>
      </c>
      <c r="N655" s="239">
        <v>1577.6</v>
      </c>
      <c r="O655" s="239"/>
      <c r="Q655" s="221">
        <v>10</v>
      </c>
      <c r="R655" s="112">
        <f t="shared" si="63"/>
        <v>13.138333333333334</v>
      </c>
      <c r="S655" s="223">
        <f t="shared" si="60"/>
        <v>932.82166666666672</v>
      </c>
      <c r="T655" s="223">
        <f t="shared" si="64"/>
        <v>644.77833333333319</v>
      </c>
      <c r="U655" s="221">
        <v>11040</v>
      </c>
      <c r="V655" s="233"/>
      <c r="W655" s="223"/>
      <c r="X655" s="196">
        <f t="shared" si="62"/>
        <v>71</v>
      </c>
    </row>
    <row r="656" spans="1:24" s="221" customFormat="1" ht="31.5">
      <c r="A656" s="221" t="s">
        <v>1210</v>
      </c>
      <c r="B656" s="195" t="s">
        <v>1202</v>
      </c>
      <c r="E656" s="226"/>
      <c r="F656" s="226" t="s">
        <v>908</v>
      </c>
      <c r="G656" s="220" t="str">
        <f t="shared" si="61"/>
        <v>23/5/2008</v>
      </c>
      <c r="H656" s="221">
        <v>23</v>
      </c>
      <c r="I656" s="221">
        <v>5</v>
      </c>
      <c r="J656" s="221">
        <v>2008</v>
      </c>
      <c r="K656" s="221" t="s">
        <v>184</v>
      </c>
      <c r="L656" s="226"/>
      <c r="M656" s="221" t="s">
        <v>869</v>
      </c>
      <c r="N656" s="239">
        <v>1577.6</v>
      </c>
      <c r="O656" s="239"/>
      <c r="Q656" s="221">
        <v>10</v>
      </c>
      <c r="R656" s="112">
        <f t="shared" si="63"/>
        <v>13.138333333333334</v>
      </c>
      <c r="S656" s="223">
        <f t="shared" si="60"/>
        <v>932.82166666666672</v>
      </c>
      <c r="T656" s="223">
        <f t="shared" si="64"/>
        <v>644.77833333333319</v>
      </c>
      <c r="U656" s="221">
        <v>11040</v>
      </c>
      <c r="V656" s="233"/>
      <c r="W656" s="223"/>
      <c r="X656" s="196">
        <f t="shared" si="62"/>
        <v>71</v>
      </c>
    </row>
    <row r="657" spans="1:24" s="221" customFormat="1" ht="31.5">
      <c r="A657" s="221" t="s">
        <v>1209</v>
      </c>
      <c r="B657" s="195" t="s">
        <v>1202</v>
      </c>
      <c r="E657" s="226"/>
      <c r="F657" s="226" t="s">
        <v>908</v>
      </c>
      <c r="G657" s="220" t="str">
        <f t="shared" si="61"/>
        <v>23/5/2008</v>
      </c>
      <c r="H657" s="221">
        <v>23</v>
      </c>
      <c r="I657" s="221">
        <v>5</v>
      </c>
      <c r="J657" s="221">
        <v>2008</v>
      </c>
      <c r="K657" s="221" t="s">
        <v>184</v>
      </c>
      <c r="L657" s="226"/>
      <c r="M657" s="221" t="s">
        <v>869</v>
      </c>
      <c r="N657" s="239">
        <v>1577.6</v>
      </c>
      <c r="O657" s="239"/>
      <c r="Q657" s="221">
        <v>10</v>
      </c>
      <c r="R657" s="112">
        <f t="shared" si="63"/>
        <v>13.138333333333334</v>
      </c>
      <c r="S657" s="223">
        <f t="shared" si="60"/>
        <v>932.82166666666672</v>
      </c>
      <c r="T657" s="223">
        <f t="shared" si="64"/>
        <v>644.77833333333319</v>
      </c>
      <c r="U657" s="221">
        <v>11040</v>
      </c>
      <c r="V657" s="233"/>
      <c r="W657" s="223"/>
      <c r="X657" s="196">
        <f t="shared" si="62"/>
        <v>71</v>
      </c>
    </row>
    <row r="658" spans="1:24" s="221" customFormat="1" ht="31.5">
      <c r="A658" s="221" t="s">
        <v>1208</v>
      </c>
      <c r="B658" s="195" t="s">
        <v>1202</v>
      </c>
      <c r="E658" s="226"/>
      <c r="F658" s="226" t="s">
        <v>908</v>
      </c>
      <c r="G658" s="220" t="str">
        <f t="shared" si="61"/>
        <v>23/5/2008</v>
      </c>
      <c r="H658" s="221">
        <v>23</v>
      </c>
      <c r="I658" s="221">
        <v>5</v>
      </c>
      <c r="J658" s="221">
        <v>2008</v>
      </c>
      <c r="K658" s="221" t="s">
        <v>184</v>
      </c>
      <c r="L658" s="226"/>
      <c r="M658" s="221" t="s">
        <v>869</v>
      </c>
      <c r="N658" s="239">
        <v>1577.6</v>
      </c>
      <c r="O658" s="239"/>
      <c r="Q658" s="221">
        <v>10</v>
      </c>
      <c r="R658" s="112">
        <f t="shared" si="63"/>
        <v>13.138333333333334</v>
      </c>
      <c r="S658" s="223">
        <f t="shared" si="60"/>
        <v>932.82166666666672</v>
      </c>
      <c r="T658" s="223">
        <f t="shared" si="64"/>
        <v>644.77833333333319</v>
      </c>
      <c r="U658" s="221">
        <v>11040</v>
      </c>
      <c r="V658" s="233"/>
      <c r="W658" s="223"/>
      <c r="X658" s="196">
        <f t="shared" si="62"/>
        <v>71</v>
      </c>
    </row>
    <row r="659" spans="1:24" s="221" customFormat="1" ht="31.5">
      <c r="A659" s="221" t="s">
        <v>1207</v>
      </c>
      <c r="B659" s="195" t="s">
        <v>1202</v>
      </c>
      <c r="E659" s="226"/>
      <c r="F659" s="226" t="s">
        <v>908</v>
      </c>
      <c r="G659" s="220" t="str">
        <f t="shared" si="61"/>
        <v>23/5/2008</v>
      </c>
      <c r="H659" s="221">
        <v>23</v>
      </c>
      <c r="I659" s="221">
        <v>5</v>
      </c>
      <c r="J659" s="221">
        <v>2008</v>
      </c>
      <c r="K659" s="221" t="s">
        <v>184</v>
      </c>
      <c r="L659" s="226"/>
      <c r="M659" s="221" t="s">
        <v>869</v>
      </c>
      <c r="N659" s="239">
        <v>1577.6</v>
      </c>
      <c r="O659" s="239"/>
      <c r="Q659" s="221">
        <v>10</v>
      </c>
      <c r="R659" s="112">
        <f t="shared" si="63"/>
        <v>13.138333333333334</v>
      </c>
      <c r="S659" s="223">
        <f t="shared" si="60"/>
        <v>932.82166666666672</v>
      </c>
      <c r="T659" s="223">
        <f t="shared" si="64"/>
        <v>644.77833333333319</v>
      </c>
      <c r="U659" s="221">
        <v>11040</v>
      </c>
      <c r="V659" s="233"/>
      <c r="W659" s="223"/>
      <c r="X659" s="196">
        <f t="shared" si="62"/>
        <v>71</v>
      </c>
    </row>
    <row r="660" spans="1:24" s="221" customFormat="1" ht="31.5">
      <c r="A660" s="221" t="s">
        <v>1206</v>
      </c>
      <c r="B660" s="195" t="s">
        <v>1202</v>
      </c>
      <c r="E660" s="226"/>
      <c r="F660" s="226" t="s">
        <v>908</v>
      </c>
      <c r="G660" s="220" t="str">
        <f t="shared" si="61"/>
        <v>23/5/2008</v>
      </c>
      <c r="H660" s="221">
        <v>23</v>
      </c>
      <c r="I660" s="221">
        <v>5</v>
      </c>
      <c r="J660" s="221">
        <v>2008</v>
      </c>
      <c r="K660" s="221" t="s">
        <v>184</v>
      </c>
      <c r="L660" s="226"/>
      <c r="M660" s="221" t="s">
        <v>869</v>
      </c>
      <c r="N660" s="239">
        <v>1577.6</v>
      </c>
      <c r="O660" s="239"/>
      <c r="Q660" s="221">
        <v>10</v>
      </c>
      <c r="R660" s="112">
        <f t="shared" si="63"/>
        <v>13.138333333333334</v>
      </c>
      <c r="S660" s="223">
        <f t="shared" si="60"/>
        <v>932.82166666666672</v>
      </c>
      <c r="T660" s="223">
        <f t="shared" si="64"/>
        <v>644.77833333333319</v>
      </c>
      <c r="U660" s="221">
        <v>11040</v>
      </c>
      <c r="V660" s="233"/>
      <c r="W660" s="223"/>
      <c r="X660" s="196">
        <f t="shared" si="62"/>
        <v>71</v>
      </c>
    </row>
    <row r="661" spans="1:24" s="221" customFormat="1" ht="31.5">
      <c r="A661" s="221" t="s">
        <v>1205</v>
      </c>
      <c r="B661" s="195" t="s">
        <v>1202</v>
      </c>
      <c r="E661" s="226"/>
      <c r="F661" s="226" t="s">
        <v>908</v>
      </c>
      <c r="G661" s="220" t="str">
        <f t="shared" si="61"/>
        <v>23/5/2008</v>
      </c>
      <c r="H661" s="221">
        <v>23</v>
      </c>
      <c r="I661" s="221">
        <v>5</v>
      </c>
      <c r="J661" s="221">
        <v>2008</v>
      </c>
      <c r="K661" s="221" t="s">
        <v>184</v>
      </c>
      <c r="L661" s="226"/>
      <c r="M661" s="221" t="s">
        <v>869</v>
      </c>
      <c r="N661" s="239">
        <v>1577.6</v>
      </c>
      <c r="O661" s="239"/>
      <c r="Q661" s="221">
        <v>10</v>
      </c>
      <c r="R661" s="112">
        <f t="shared" si="63"/>
        <v>13.138333333333334</v>
      </c>
      <c r="S661" s="223">
        <f t="shared" si="60"/>
        <v>932.82166666666672</v>
      </c>
      <c r="T661" s="223">
        <f t="shared" si="64"/>
        <v>644.77833333333319</v>
      </c>
      <c r="U661" s="221">
        <v>11040</v>
      </c>
      <c r="V661" s="233"/>
      <c r="W661" s="223"/>
      <c r="X661" s="196">
        <f t="shared" si="62"/>
        <v>71</v>
      </c>
    </row>
    <row r="662" spans="1:24" s="221" customFormat="1" ht="31.5">
      <c r="A662" s="221" t="s">
        <v>1204</v>
      </c>
      <c r="B662" s="195" t="s">
        <v>1202</v>
      </c>
      <c r="E662" s="226"/>
      <c r="F662" s="226" t="s">
        <v>908</v>
      </c>
      <c r="G662" s="220" t="str">
        <f t="shared" si="61"/>
        <v>23/5/2008</v>
      </c>
      <c r="H662" s="221">
        <v>23</v>
      </c>
      <c r="I662" s="221">
        <v>5</v>
      </c>
      <c r="J662" s="221">
        <v>2008</v>
      </c>
      <c r="K662" s="221" t="s">
        <v>184</v>
      </c>
      <c r="L662" s="226"/>
      <c r="M662" s="221" t="s">
        <v>869</v>
      </c>
      <c r="N662" s="239">
        <v>1577.6</v>
      </c>
      <c r="O662" s="239"/>
      <c r="Q662" s="221">
        <v>10</v>
      </c>
      <c r="R662" s="112">
        <f t="shared" si="63"/>
        <v>13.138333333333334</v>
      </c>
      <c r="S662" s="223">
        <f t="shared" si="60"/>
        <v>932.82166666666672</v>
      </c>
      <c r="T662" s="223">
        <f t="shared" si="64"/>
        <v>644.77833333333319</v>
      </c>
      <c r="U662" s="221">
        <v>11040</v>
      </c>
      <c r="V662" s="233"/>
      <c r="W662" s="223"/>
      <c r="X662" s="196">
        <f t="shared" si="62"/>
        <v>71</v>
      </c>
    </row>
    <row r="663" spans="1:24" s="221" customFormat="1" ht="31.5">
      <c r="A663" s="221" t="s">
        <v>1203</v>
      </c>
      <c r="B663" s="195" t="s">
        <v>1202</v>
      </c>
      <c r="E663" s="226"/>
      <c r="F663" s="226" t="s">
        <v>908</v>
      </c>
      <c r="G663" s="220" t="str">
        <f t="shared" si="61"/>
        <v>23/5/2008</v>
      </c>
      <c r="H663" s="221">
        <v>23</v>
      </c>
      <c r="I663" s="221">
        <v>5</v>
      </c>
      <c r="J663" s="221">
        <v>2008</v>
      </c>
      <c r="K663" s="221" t="s">
        <v>184</v>
      </c>
      <c r="L663" s="226"/>
      <c r="M663" s="221" t="s">
        <v>869</v>
      </c>
      <c r="N663" s="239">
        <v>1577.6</v>
      </c>
      <c r="O663" s="239"/>
      <c r="Q663" s="221">
        <v>10</v>
      </c>
      <c r="R663" s="112">
        <f t="shared" si="63"/>
        <v>13.138333333333334</v>
      </c>
      <c r="S663" s="223">
        <f t="shared" si="60"/>
        <v>932.82166666666672</v>
      </c>
      <c r="T663" s="223">
        <f t="shared" si="64"/>
        <v>644.77833333333319</v>
      </c>
      <c r="U663" s="221">
        <v>11040</v>
      </c>
      <c r="V663" s="233"/>
      <c r="W663" s="223"/>
      <c r="X663" s="196">
        <f t="shared" si="62"/>
        <v>71</v>
      </c>
    </row>
    <row r="664" spans="1:24" s="221" customFormat="1" ht="31.5">
      <c r="A664" s="488" t="s">
        <v>1201</v>
      </c>
      <c r="B664" s="495" t="s">
        <v>2797</v>
      </c>
      <c r="C664" s="488"/>
      <c r="D664" s="488" t="s">
        <v>1179</v>
      </c>
      <c r="E664" s="483"/>
      <c r="F664" s="483" t="s">
        <v>908</v>
      </c>
      <c r="G664" s="484" t="str">
        <f t="shared" si="61"/>
        <v>23/5/2008</v>
      </c>
      <c r="H664" s="488">
        <v>23</v>
      </c>
      <c r="I664" s="488">
        <v>5</v>
      </c>
      <c r="J664" s="488">
        <v>2008</v>
      </c>
      <c r="K664" s="488" t="s">
        <v>184</v>
      </c>
      <c r="L664" s="483"/>
      <c r="M664" s="488" t="s">
        <v>869</v>
      </c>
      <c r="N664" s="496">
        <v>3622.68</v>
      </c>
      <c r="O664" s="239"/>
      <c r="Q664" s="488">
        <v>10</v>
      </c>
      <c r="R664" s="489">
        <f t="shared" si="63"/>
        <v>30.180666666666667</v>
      </c>
      <c r="S664" s="490">
        <f t="shared" si="60"/>
        <v>2142.8273333333332</v>
      </c>
      <c r="T664" s="490">
        <f t="shared" si="64"/>
        <v>1479.8526666666667</v>
      </c>
      <c r="U664" s="488">
        <v>11040</v>
      </c>
      <c r="V664" s="491"/>
      <c r="W664" s="490"/>
      <c r="X664" s="492">
        <f t="shared" si="62"/>
        <v>71</v>
      </c>
    </row>
    <row r="665" spans="1:24" s="221" customFormat="1" ht="31.5">
      <c r="A665" s="221" t="s">
        <v>1200</v>
      </c>
      <c r="B665" s="195" t="s">
        <v>1180</v>
      </c>
      <c r="D665" s="221" t="s">
        <v>1179</v>
      </c>
      <c r="E665" s="226"/>
      <c r="F665" s="226" t="s">
        <v>908</v>
      </c>
      <c r="G665" s="220" t="str">
        <f t="shared" si="61"/>
        <v>23/5/2008</v>
      </c>
      <c r="H665" s="221">
        <v>23</v>
      </c>
      <c r="I665" s="221">
        <v>5</v>
      </c>
      <c r="J665" s="221">
        <v>2008</v>
      </c>
      <c r="K665" s="221" t="s">
        <v>184</v>
      </c>
      <c r="L665" s="226"/>
      <c r="M665" s="221" t="s">
        <v>869</v>
      </c>
      <c r="N665" s="239">
        <v>3622.68</v>
      </c>
      <c r="O665" s="239"/>
      <c r="Q665" s="221">
        <v>10</v>
      </c>
      <c r="R665" s="112">
        <f t="shared" si="63"/>
        <v>30.180666666666667</v>
      </c>
      <c r="S665" s="223">
        <f t="shared" si="60"/>
        <v>2142.8273333333332</v>
      </c>
      <c r="T665" s="223">
        <f t="shared" si="64"/>
        <v>1479.8526666666667</v>
      </c>
      <c r="U665" s="221">
        <v>11040</v>
      </c>
      <c r="V665" s="233"/>
      <c r="W665" s="223"/>
      <c r="X665" s="196">
        <f t="shared" si="62"/>
        <v>71</v>
      </c>
    </row>
    <row r="666" spans="1:24" s="221" customFormat="1" ht="31.5">
      <c r="A666" s="221" t="s">
        <v>1199</v>
      </c>
      <c r="B666" s="195" t="s">
        <v>1180</v>
      </c>
      <c r="D666" s="221" t="s">
        <v>1179</v>
      </c>
      <c r="E666" s="226"/>
      <c r="F666" s="226" t="s">
        <v>908</v>
      </c>
      <c r="G666" s="220" t="str">
        <f t="shared" si="61"/>
        <v>23/5/2008</v>
      </c>
      <c r="H666" s="221">
        <v>23</v>
      </c>
      <c r="I666" s="221">
        <v>5</v>
      </c>
      <c r="J666" s="221">
        <v>2008</v>
      </c>
      <c r="K666" s="221" t="s">
        <v>184</v>
      </c>
      <c r="L666" s="226"/>
      <c r="M666" s="221" t="s">
        <v>869</v>
      </c>
      <c r="N666" s="239">
        <v>3622.68</v>
      </c>
      <c r="O666" s="239"/>
      <c r="Q666" s="221">
        <v>10</v>
      </c>
      <c r="R666" s="112">
        <f t="shared" si="63"/>
        <v>30.180666666666667</v>
      </c>
      <c r="S666" s="223">
        <f t="shared" si="60"/>
        <v>2142.8273333333332</v>
      </c>
      <c r="T666" s="223">
        <f t="shared" si="64"/>
        <v>1479.8526666666667</v>
      </c>
      <c r="U666" s="221">
        <v>11040</v>
      </c>
      <c r="V666" s="233"/>
      <c r="W666" s="223"/>
      <c r="X666" s="196">
        <f t="shared" si="62"/>
        <v>71</v>
      </c>
    </row>
    <row r="667" spans="1:24" s="221" customFormat="1" ht="31.5">
      <c r="A667" s="221" t="s">
        <v>1198</v>
      </c>
      <c r="B667" s="195" t="s">
        <v>1180</v>
      </c>
      <c r="D667" s="221" t="s">
        <v>1179</v>
      </c>
      <c r="E667" s="226"/>
      <c r="F667" s="226" t="s">
        <v>908</v>
      </c>
      <c r="G667" s="220" t="str">
        <f t="shared" si="61"/>
        <v>23/5/2008</v>
      </c>
      <c r="H667" s="221">
        <v>23</v>
      </c>
      <c r="I667" s="221">
        <v>5</v>
      </c>
      <c r="J667" s="221">
        <v>2008</v>
      </c>
      <c r="K667" s="221" t="s">
        <v>184</v>
      </c>
      <c r="L667" s="226"/>
      <c r="M667" s="221" t="s">
        <v>869</v>
      </c>
      <c r="N667" s="239">
        <v>3622.68</v>
      </c>
      <c r="O667" s="239"/>
      <c r="Q667" s="221">
        <v>10</v>
      </c>
      <c r="R667" s="112">
        <f t="shared" si="63"/>
        <v>30.180666666666667</v>
      </c>
      <c r="S667" s="223">
        <f t="shared" si="60"/>
        <v>2142.8273333333332</v>
      </c>
      <c r="T667" s="223">
        <f t="shared" si="64"/>
        <v>1479.8526666666667</v>
      </c>
      <c r="U667" s="221">
        <v>11040</v>
      </c>
      <c r="V667" s="233"/>
      <c r="W667" s="223"/>
      <c r="X667" s="196">
        <f t="shared" si="62"/>
        <v>71</v>
      </c>
    </row>
    <row r="668" spans="1:24" s="221" customFormat="1" ht="31.5">
      <c r="A668" s="221" t="s">
        <v>1197</v>
      </c>
      <c r="B668" s="195" t="s">
        <v>1180</v>
      </c>
      <c r="D668" s="221" t="s">
        <v>1179</v>
      </c>
      <c r="E668" s="226"/>
      <c r="F668" s="226" t="s">
        <v>908</v>
      </c>
      <c r="G668" s="220" t="str">
        <f t="shared" si="61"/>
        <v>23/5/2008</v>
      </c>
      <c r="H668" s="221">
        <v>23</v>
      </c>
      <c r="I668" s="221">
        <v>5</v>
      </c>
      <c r="J668" s="221">
        <v>2008</v>
      </c>
      <c r="K668" s="221" t="s">
        <v>184</v>
      </c>
      <c r="L668" s="226"/>
      <c r="M668" s="221" t="s">
        <v>869</v>
      </c>
      <c r="N668" s="239">
        <v>3622.68</v>
      </c>
      <c r="O668" s="239"/>
      <c r="Q668" s="221">
        <v>10</v>
      </c>
      <c r="R668" s="112">
        <f t="shared" si="63"/>
        <v>30.180666666666667</v>
      </c>
      <c r="S668" s="223">
        <f t="shared" si="60"/>
        <v>2142.8273333333332</v>
      </c>
      <c r="T668" s="223">
        <f t="shared" si="64"/>
        <v>1479.8526666666667</v>
      </c>
      <c r="U668" s="221">
        <v>11040</v>
      </c>
      <c r="V668" s="233"/>
      <c r="W668" s="223"/>
      <c r="X668" s="196">
        <f t="shared" si="62"/>
        <v>71</v>
      </c>
    </row>
    <row r="669" spans="1:24" s="221" customFormat="1" ht="31.5">
      <c r="A669" s="221" t="s">
        <v>1196</v>
      </c>
      <c r="B669" s="195" t="s">
        <v>1180</v>
      </c>
      <c r="D669" s="221" t="s">
        <v>1179</v>
      </c>
      <c r="E669" s="226"/>
      <c r="F669" s="226" t="s">
        <v>908</v>
      </c>
      <c r="G669" s="220" t="str">
        <f t="shared" si="61"/>
        <v>23/5/2008</v>
      </c>
      <c r="H669" s="221">
        <v>23</v>
      </c>
      <c r="I669" s="221">
        <v>5</v>
      </c>
      <c r="J669" s="221">
        <v>2008</v>
      </c>
      <c r="K669" s="221" t="s">
        <v>184</v>
      </c>
      <c r="L669" s="226"/>
      <c r="M669" s="221" t="s">
        <v>869</v>
      </c>
      <c r="N669" s="239">
        <v>3622.68</v>
      </c>
      <c r="O669" s="239"/>
      <c r="Q669" s="221">
        <v>10</v>
      </c>
      <c r="R669" s="112">
        <f t="shared" si="63"/>
        <v>30.180666666666667</v>
      </c>
      <c r="S669" s="223">
        <f t="shared" si="60"/>
        <v>2142.8273333333332</v>
      </c>
      <c r="T669" s="223">
        <f t="shared" si="64"/>
        <v>1479.8526666666667</v>
      </c>
      <c r="U669" s="221">
        <v>11040</v>
      </c>
      <c r="V669" s="233"/>
      <c r="W669" s="223"/>
      <c r="X669" s="196">
        <f t="shared" si="62"/>
        <v>71</v>
      </c>
    </row>
    <row r="670" spans="1:24" s="221" customFormat="1" ht="31.5">
      <c r="A670" s="221" t="s">
        <v>1195</v>
      </c>
      <c r="B670" s="195" t="s">
        <v>1180</v>
      </c>
      <c r="D670" s="221" t="s">
        <v>1179</v>
      </c>
      <c r="E670" s="226"/>
      <c r="F670" s="226" t="s">
        <v>908</v>
      </c>
      <c r="G670" s="220" t="str">
        <f t="shared" si="61"/>
        <v>23/5/2008</v>
      </c>
      <c r="H670" s="221">
        <v>23</v>
      </c>
      <c r="I670" s="221">
        <v>5</v>
      </c>
      <c r="J670" s="221">
        <v>2008</v>
      </c>
      <c r="K670" s="221" t="s">
        <v>184</v>
      </c>
      <c r="L670" s="226"/>
      <c r="M670" s="221" t="s">
        <v>869</v>
      </c>
      <c r="N670" s="239">
        <v>3622.68</v>
      </c>
      <c r="O670" s="239"/>
      <c r="Q670" s="221">
        <v>10</v>
      </c>
      <c r="R670" s="112">
        <f t="shared" si="63"/>
        <v>30.180666666666667</v>
      </c>
      <c r="S670" s="223">
        <f t="shared" si="60"/>
        <v>2142.8273333333332</v>
      </c>
      <c r="T670" s="223">
        <f t="shared" si="64"/>
        <v>1479.8526666666667</v>
      </c>
      <c r="U670" s="221">
        <v>11040</v>
      </c>
      <c r="V670" s="233"/>
      <c r="W670" s="223"/>
      <c r="X670" s="196">
        <f t="shared" si="62"/>
        <v>71</v>
      </c>
    </row>
    <row r="671" spans="1:24" s="221" customFormat="1" ht="31.5">
      <c r="A671" s="221" t="s">
        <v>1194</v>
      </c>
      <c r="B671" s="195" t="s">
        <v>1180</v>
      </c>
      <c r="D671" s="221" t="s">
        <v>1179</v>
      </c>
      <c r="E671" s="226"/>
      <c r="F671" s="226" t="s">
        <v>908</v>
      </c>
      <c r="G671" s="220" t="str">
        <f t="shared" si="61"/>
        <v>23/5/2008</v>
      </c>
      <c r="H671" s="221">
        <v>23</v>
      </c>
      <c r="I671" s="221">
        <v>5</v>
      </c>
      <c r="J671" s="221">
        <v>2008</v>
      </c>
      <c r="K671" s="221" t="s">
        <v>184</v>
      </c>
      <c r="L671" s="226"/>
      <c r="M671" s="221" t="s">
        <v>869</v>
      </c>
      <c r="N671" s="239">
        <v>3622.68</v>
      </c>
      <c r="O671" s="239"/>
      <c r="Q671" s="221">
        <v>10</v>
      </c>
      <c r="R671" s="112">
        <f t="shared" si="63"/>
        <v>30.180666666666667</v>
      </c>
      <c r="S671" s="223">
        <f t="shared" si="60"/>
        <v>2142.8273333333332</v>
      </c>
      <c r="T671" s="223">
        <f t="shared" si="64"/>
        <v>1479.8526666666667</v>
      </c>
      <c r="U671" s="221">
        <v>11040</v>
      </c>
      <c r="V671" s="233"/>
      <c r="W671" s="223"/>
      <c r="X671" s="196">
        <f t="shared" si="62"/>
        <v>71</v>
      </c>
    </row>
    <row r="672" spans="1:24" s="221" customFormat="1" ht="31.5">
      <c r="A672" s="221" t="s">
        <v>1193</v>
      </c>
      <c r="B672" s="195" t="s">
        <v>1180</v>
      </c>
      <c r="D672" s="221" t="s">
        <v>1179</v>
      </c>
      <c r="E672" s="226"/>
      <c r="F672" s="226" t="s">
        <v>908</v>
      </c>
      <c r="G672" s="220" t="str">
        <f t="shared" si="61"/>
        <v>23/5/2008</v>
      </c>
      <c r="H672" s="221">
        <v>23</v>
      </c>
      <c r="I672" s="221">
        <v>5</v>
      </c>
      <c r="J672" s="221">
        <v>2008</v>
      </c>
      <c r="K672" s="221" t="s">
        <v>184</v>
      </c>
      <c r="L672" s="226"/>
      <c r="M672" s="221" t="s">
        <v>869</v>
      </c>
      <c r="N672" s="239">
        <v>3622.68</v>
      </c>
      <c r="O672" s="239"/>
      <c r="Q672" s="221">
        <v>10</v>
      </c>
      <c r="R672" s="112">
        <f t="shared" si="63"/>
        <v>30.180666666666667</v>
      </c>
      <c r="S672" s="223">
        <f t="shared" si="60"/>
        <v>2142.8273333333332</v>
      </c>
      <c r="T672" s="223">
        <f t="shared" si="64"/>
        <v>1479.8526666666667</v>
      </c>
      <c r="U672" s="221">
        <v>11040</v>
      </c>
      <c r="V672" s="233"/>
      <c r="W672" s="223"/>
      <c r="X672" s="196">
        <f t="shared" si="62"/>
        <v>71</v>
      </c>
    </row>
    <row r="673" spans="1:24" s="221" customFormat="1" ht="31.5">
      <c r="A673" s="221" t="s">
        <v>1192</v>
      </c>
      <c r="B673" s="195" t="s">
        <v>1180</v>
      </c>
      <c r="D673" s="221" t="s">
        <v>1179</v>
      </c>
      <c r="E673" s="226"/>
      <c r="F673" s="226" t="s">
        <v>908</v>
      </c>
      <c r="G673" s="220" t="str">
        <f t="shared" si="61"/>
        <v>23/5/2008</v>
      </c>
      <c r="H673" s="221">
        <v>23</v>
      </c>
      <c r="I673" s="221">
        <v>5</v>
      </c>
      <c r="J673" s="221">
        <v>2008</v>
      </c>
      <c r="K673" s="221" t="s">
        <v>184</v>
      </c>
      <c r="L673" s="226"/>
      <c r="M673" s="221" t="s">
        <v>869</v>
      </c>
      <c r="N673" s="239">
        <v>3622.68</v>
      </c>
      <c r="O673" s="239"/>
      <c r="Q673" s="221">
        <v>10</v>
      </c>
      <c r="R673" s="112">
        <f t="shared" si="63"/>
        <v>30.180666666666667</v>
      </c>
      <c r="S673" s="223">
        <f t="shared" si="60"/>
        <v>2142.8273333333332</v>
      </c>
      <c r="T673" s="223">
        <f t="shared" si="64"/>
        <v>1479.8526666666667</v>
      </c>
      <c r="U673" s="221">
        <v>11040</v>
      </c>
      <c r="V673" s="233"/>
      <c r="W673" s="223"/>
      <c r="X673" s="196">
        <f t="shared" si="62"/>
        <v>71</v>
      </c>
    </row>
    <row r="674" spans="1:24" s="221" customFormat="1" ht="31.5">
      <c r="A674" s="221" t="s">
        <v>1191</v>
      </c>
      <c r="B674" s="195" t="s">
        <v>1180</v>
      </c>
      <c r="D674" s="221" t="s">
        <v>1179</v>
      </c>
      <c r="E674" s="226"/>
      <c r="F674" s="226" t="s">
        <v>908</v>
      </c>
      <c r="G674" s="220" t="str">
        <f t="shared" si="61"/>
        <v>23/5/2008</v>
      </c>
      <c r="H674" s="221">
        <v>23</v>
      </c>
      <c r="I674" s="221">
        <v>5</v>
      </c>
      <c r="J674" s="221">
        <v>2008</v>
      </c>
      <c r="K674" s="221" t="s">
        <v>184</v>
      </c>
      <c r="L674" s="226"/>
      <c r="M674" s="221" t="s">
        <v>869</v>
      </c>
      <c r="N674" s="239">
        <v>3622.68</v>
      </c>
      <c r="O674" s="239"/>
      <c r="Q674" s="221">
        <v>10</v>
      </c>
      <c r="R674" s="112">
        <f t="shared" si="63"/>
        <v>30.180666666666667</v>
      </c>
      <c r="S674" s="223">
        <f t="shared" si="60"/>
        <v>2142.8273333333332</v>
      </c>
      <c r="T674" s="223">
        <f t="shared" si="64"/>
        <v>1479.8526666666667</v>
      </c>
      <c r="U674" s="221">
        <v>11040</v>
      </c>
      <c r="V674" s="233"/>
      <c r="W674" s="223"/>
      <c r="X674" s="196">
        <f t="shared" si="62"/>
        <v>71</v>
      </c>
    </row>
    <row r="675" spans="1:24" s="221" customFormat="1" ht="31.5">
      <c r="A675" s="488" t="s">
        <v>1190</v>
      </c>
      <c r="B675" s="495" t="s">
        <v>2798</v>
      </c>
      <c r="C675" s="488"/>
      <c r="D675" s="488" t="s">
        <v>1179</v>
      </c>
      <c r="E675" s="483"/>
      <c r="F675" s="483" t="s">
        <v>908</v>
      </c>
      <c r="G675" s="484" t="str">
        <f t="shared" si="61"/>
        <v>23/5/2008</v>
      </c>
      <c r="H675" s="488">
        <v>23</v>
      </c>
      <c r="I675" s="488">
        <v>5</v>
      </c>
      <c r="J675" s="488">
        <v>2008</v>
      </c>
      <c r="K675" s="488" t="s">
        <v>184</v>
      </c>
      <c r="L675" s="483"/>
      <c r="M675" s="488" t="s">
        <v>869</v>
      </c>
      <c r="N675" s="496">
        <v>3622.68</v>
      </c>
      <c r="O675" s="239"/>
      <c r="Q675" s="488">
        <v>10</v>
      </c>
      <c r="R675" s="489">
        <f t="shared" si="63"/>
        <v>30.180666666666667</v>
      </c>
      <c r="S675" s="490">
        <f t="shared" si="60"/>
        <v>2142.8273333333332</v>
      </c>
      <c r="T675" s="490">
        <f t="shared" si="64"/>
        <v>1479.8526666666667</v>
      </c>
      <c r="U675" s="488">
        <v>11040</v>
      </c>
      <c r="V675" s="491"/>
      <c r="W675" s="490"/>
      <c r="X675" s="492">
        <f t="shared" si="62"/>
        <v>71</v>
      </c>
    </row>
    <row r="676" spans="1:24" s="221" customFormat="1" ht="31.5">
      <c r="A676" s="488" t="s">
        <v>1189</v>
      </c>
      <c r="B676" s="495" t="s">
        <v>2799</v>
      </c>
      <c r="C676" s="488"/>
      <c r="D676" s="488" t="s">
        <v>1179</v>
      </c>
      <c r="E676" s="483"/>
      <c r="F676" s="483" t="s">
        <v>908</v>
      </c>
      <c r="G676" s="484" t="str">
        <f t="shared" si="61"/>
        <v>23/5/2008</v>
      </c>
      <c r="H676" s="488">
        <v>23</v>
      </c>
      <c r="I676" s="488">
        <v>5</v>
      </c>
      <c r="J676" s="488">
        <v>2008</v>
      </c>
      <c r="K676" s="488" t="s">
        <v>184</v>
      </c>
      <c r="L676" s="483"/>
      <c r="M676" s="488" t="s">
        <v>869</v>
      </c>
      <c r="N676" s="496">
        <v>3622.68</v>
      </c>
      <c r="O676" s="239"/>
      <c r="Q676" s="488">
        <v>10</v>
      </c>
      <c r="R676" s="489">
        <f t="shared" si="63"/>
        <v>30.180666666666667</v>
      </c>
      <c r="S676" s="490">
        <f t="shared" si="60"/>
        <v>2142.8273333333332</v>
      </c>
      <c r="T676" s="490">
        <f t="shared" si="64"/>
        <v>1479.8526666666667</v>
      </c>
      <c r="U676" s="488">
        <v>11040</v>
      </c>
      <c r="V676" s="491"/>
      <c r="W676" s="490"/>
      <c r="X676" s="492">
        <f t="shared" si="62"/>
        <v>71</v>
      </c>
    </row>
    <row r="677" spans="1:24" s="221" customFormat="1" ht="31.5">
      <c r="A677" s="221" t="s">
        <v>1188</v>
      </c>
      <c r="B677" s="195" t="s">
        <v>1180</v>
      </c>
      <c r="D677" s="221" t="s">
        <v>1179</v>
      </c>
      <c r="E677" s="226"/>
      <c r="F677" s="226" t="s">
        <v>908</v>
      </c>
      <c r="G677" s="220" t="str">
        <f t="shared" si="61"/>
        <v>23/5/2008</v>
      </c>
      <c r="H677" s="221">
        <v>23</v>
      </c>
      <c r="I677" s="221">
        <v>5</v>
      </c>
      <c r="J677" s="221">
        <v>2008</v>
      </c>
      <c r="K677" s="221" t="s">
        <v>184</v>
      </c>
      <c r="L677" s="226"/>
      <c r="M677" s="221" t="s">
        <v>869</v>
      </c>
      <c r="N677" s="239">
        <v>3622.68</v>
      </c>
      <c r="O677" s="239"/>
      <c r="Q677" s="221">
        <v>10</v>
      </c>
      <c r="R677" s="112">
        <f t="shared" si="63"/>
        <v>30.180666666666667</v>
      </c>
      <c r="S677" s="223">
        <f t="shared" si="60"/>
        <v>2142.8273333333332</v>
      </c>
      <c r="T677" s="223">
        <f t="shared" si="64"/>
        <v>1479.8526666666667</v>
      </c>
      <c r="U677" s="221">
        <v>11040</v>
      </c>
      <c r="V677" s="233"/>
      <c r="W677" s="223"/>
      <c r="X677" s="196">
        <f t="shared" si="62"/>
        <v>71</v>
      </c>
    </row>
    <row r="678" spans="1:24" s="221" customFormat="1" ht="31.5">
      <c r="A678" s="221" t="s">
        <v>1187</v>
      </c>
      <c r="B678" s="195" t="s">
        <v>1180</v>
      </c>
      <c r="D678" s="221" t="s">
        <v>1179</v>
      </c>
      <c r="E678" s="226"/>
      <c r="F678" s="226" t="s">
        <v>908</v>
      </c>
      <c r="G678" s="220" t="str">
        <f t="shared" si="61"/>
        <v>23/5/2008</v>
      </c>
      <c r="H678" s="221">
        <v>23</v>
      </c>
      <c r="I678" s="221">
        <v>5</v>
      </c>
      <c r="J678" s="221">
        <v>2008</v>
      </c>
      <c r="K678" s="221" t="s">
        <v>184</v>
      </c>
      <c r="L678" s="226"/>
      <c r="M678" s="221" t="s">
        <v>869</v>
      </c>
      <c r="N678" s="239">
        <v>3622.68</v>
      </c>
      <c r="O678" s="239"/>
      <c r="Q678" s="221">
        <v>10</v>
      </c>
      <c r="R678" s="112">
        <f t="shared" si="63"/>
        <v>30.180666666666667</v>
      </c>
      <c r="S678" s="223">
        <f t="shared" si="60"/>
        <v>2142.8273333333332</v>
      </c>
      <c r="T678" s="223">
        <f t="shared" si="64"/>
        <v>1479.8526666666667</v>
      </c>
      <c r="U678" s="221">
        <v>11040</v>
      </c>
      <c r="V678" s="233"/>
      <c r="W678" s="223"/>
      <c r="X678" s="196">
        <f t="shared" si="62"/>
        <v>71</v>
      </c>
    </row>
    <row r="679" spans="1:24" s="221" customFormat="1" ht="31.5">
      <c r="A679" s="221" t="s">
        <v>1186</v>
      </c>
      <c r="B679" s="195" t="s">
        <v>1180</v>
      </c>
      <c r="D679" s="221" t="s">
        <v>1179</v>
      </c>
      <c r="E679" s="226"/>
      <c r="F679" s="226" t="s">
        <v>908</v>
      </c>
      <c r="G679" s="220" t="str">
        <f t="shared" si="61"/>
        <v>23/5/2008</v>
      </c>
      <c r="H679" s="221">
        <v>23</v>
      </c>
      <c r="I679" s="221">
        <v>5</v>
      </c>
      <c r="J679" s="221">
        <v>2008</v>
      </c>
      <c r="K679" s="221" t="s">
        <v>184</v>
      </c>
      <c r="L679" s="226"/>
      <c r="M679" s="221" t="s">
        <v>869</v>
      </c>
      <c r="N679" s="239">
        <v>3622.68</v>
      </c>
      <c r="O679" s="239"/>
      <c r="Q679" s="221">
        <v>10</v>
      </c>
      <c r="R679" s="112">
        <f t="shared" si="63"/>
        <v>30.180666666666667</v>
      </c>
      <c r="S679" s="223">
        <f t="shared" si="60"/>
        <v>2142.8273333333332</v>
      </c>
      <c r="T679" s="223">
        <f t="shared" si="64"/>
        <v>1479.8526666666667</v>
      </c>
      <c r="U679" s="221">
        <v>11040</v>
      </c>
      <c r="V679" s="233"/>
      <c r="W679" s="223"/>
      <c r="X679" s="196">
        <f t="shared" si="62"/>
        <v>71</v>
      </c>
    </row>
    <row r="680" spans="1:24" s="221" customFormat="1" ht="31.5">
      <c r="A680" s="221" t="s">
        <v>1185</v>
      </c>
      <c r="B680" s="195" t="s">
        <v>1180</v>
      </c>
      <c r="D680" s="221" t="s">
        <v>1179</v>
      </c>
      <c r="E680" s="226"/>
      <c r="F680" s="226" t="s">
        <v>908</v>
      </c>
      <c r="G680" s="220" t="str">
        <f t="shared" si="61"/>
        <v>23/5/2008</v>
      </c>
      <c r="H680" s="221">
        <v>23</v>
      </c>
      <c r="I680" s="221">
        <v>5</v>
      </c>
      <c r="J680" s="221">
        <v>2008</v>
      </c>
      <c r="K680" s="221" t="s">
        <v>184</v>
      </c>
      <c r="L680" s="226"/>
      <c r="M680" s="221" t="s">
        <v>869</v>
      </c>
      <c r="N680" s="239">
        <v>3622.68</v>
      </c>
      <c r="O680" s="239"/>
      <c r="Q680" s="221">
        <v>10</v>
      </c>
      <c r="R680" s="112">
        <f t="shared" si="63"/>
        <v>30.180666666666667</v>
      </c>
      <c r="S680" s="223">
        <f t="shared" si="60"/>
        <v>2142.8273333333332</v>
      </c>
      <c r="T680" s="223">
        <f t="shared" si="64"/>
        <v>1479.8526666666667</v>
      </c>
      <c r="U680" s="221">
        <v>11040</v>
      </c>
      <c r="V680" s="233"/>
      <c r="W680" s="223"/>
      <c r="X680" s="196">
        <f t="shared" si="62"/>
        <v>71</v>
      </c>
    </row>
    <row r="681" spans="1:24" s="221" customFormat="1" ht="31.5">
      <c r="A681" s="221" t="s">
        <v>1184</v>
      </c>
      <c r="B681" s="195" t="s">
        <v>1180</v>
      </c>
      <c r="D681" s="221" t="s">
        <v>1179</v>
      </c>
      <c r="E681" s="226"/>
      <c r="F681" s="226" t="s">
        <v>908</v>
      </c>
      <c r="G681" s="220" t="str">
        <f t="shared" si="61"/>
        <v>23/5/2008</v>
      </c>
      <c r="H681" s="221">
        <v>23</v>
      </c>
      <c r="I681" s="221">
        <v>5</v>
      </c>
      <c r="J681" s="221">
        <v>2008</v>
      </c>
      <c r="K681" s="221" t="s">
        <v>184</v>
      </c>
      <c r="L681" s="226"/>
      <c r="M681" s="221" t="s">
        <v>869</v>
      </c>
      <c r="N681" s="239">
        <v>3622.68</v>
      </c>
      <c r="O681" s="239"/>
      <c r="Q681" s="221">
        <v>10</v>
      </c>
      <c r="R681" s="112">
        <f t="shared" si="63"/>
        <v>30.180666666666667</v>
      </c>
      <c r="S681" s="223">
        <f t="shared" si="60"/>
        <v>2142.8273333333332</v>
      </c>
      <c r="T681" s="223">
        <f t="shared" si="64"/>
        <v>1479.8526666666667</v>
      </c>
      <c r="U681" s="221">
        <v>11040</v>
      </c>
      <c r="V681" s="233"/>
      <c r="W681" s="223"/>
      <c r="X681" s="196">
        <f t="shared" si="62"/>
        <v>71</v>
      </c>
    </row>
    <row r="682" spans="1:24" s="221" customFormat="1" ht="31.5">
      <c r="A682" s="221" t="s">
        <v>1183</v>
      </c>
      <c r="B682" s="195" t="s">
        <v>1180</v>
      </c>
      <c r="D682" s="221" t="s">
        <v>1179</v>
      </c>
      <c r="E682" s="226"/>
      <c r="F682" s="226" t="s">
        <v>908</v>
      </c>
      <c r="G682" s="220" t="str">
        <f t="shared" si="61"/>
        <v>23/5/2008</v>
      </c>
      <c r="H682" s="221">
        <v>23</v>
      </c>
      <c r="I682" s="221">
        <v>5</v>
      </c>
      <c r="J682" s="221">
        <v>2008</v>
      </c>
      <c r="K682" s="221" t="s">
        <v>184</v>
      </c>
      <c r="L682" s="226"/>
      <c r="M682" s="221" t="s">
        <v>869</v>
      </c>
      <c r="N682" s="239">
        <v>3622.68</v>
      </c>
      <c r="O682" s="239"/>
      <c r="Q682" s="221">
        <v>10</v>
      </c>
      <c r="R682" s="112">
        <f t="shared" si="63"/>
        <v>30.180666666666667</v>
      </c>
      <c r="S682" s="223">
        <f t="shared" si="60"/>
        <v>2142.8273333333332</v>
      </c>
      <c r="T682" s="223">
        <f t="shared" si="64"/>
        <v>1479.8526666666667</v>
      </c>
      <c r="U682" s="221">
        <v>11040</v>
      </c>
      <c r="V682" s="233"/>
      <c r="W682" s="223"/>
      <c r="X682" s="196">
        <f t="shared" si="62"/>
        <v>71</v>
      </c>
    </row>
    <row r="683" spans="1:24" s="221" customFormat="1" ht="31.5">
      <c r="A683" s="221" t="s">
        <v>1182</v>
      </c>
      <c r="B683" s="195" t="s">
        <v>1180</v>
      </c>
      <c r="D683" s="221" t="s">
        <v>1179</v>
      </c>
      <c r="E683" s="226"/>
      <c r="F683" s="226" t="s">
        <v>908</v>
      </c>
      <c r="G683" s="220" t="str">
        <f t="shared" si="61"/>
        <v>23/5/2008</v>
      </c>
      <c r="H683" s="221">
        <v>23</v>
      </c>
      <c r="I683" s="221">
        <v>5</v>
      </c>
      <c r="J683" s="221">
        <v>2008</v>
      </c>
      <c r="K683" s="221" t="s">
        <v>184</v>
      </c>
      <c r="L683" s="226"/>
      <c r="M683" s="221" t="s">
        <v>869</v>
      </c>
      <c r="N683" s="239">
        <v>3622.68</v>
      </c>
      <c r="O683" s="239"/>
      <c r="Q683" s="221">
        <v>10</v>
      </c>
      <c r="R683" s="112">
        <f t="shared" si="63"/>
        <v>30.180666666666667</v>
      </c>
      <c r="S683" s="223">
        <f t="shared" si="60"/>
        <v>2142.8273333333332</v>
      </c>
      <c r="T683" s="223">
        <f t="shared" si="64"/>
        <v>1479.8526666666667</v>
      </c>
      <c r="U683" s="221">
        <v>11040</v>
      </c>
      <c r="V683" s="233"/>
      <c r="W683" s="223"/>
      <c r="X683" s="196">
        <f t="shared" si="62"/>
        <v>71</v>
      </c>
    </row>
    <row r="684" spans="1:24" s="221" customFormat="1" ht="31.5">
      <c r="A684" s="221" t="s">
        <v>1181</v>
      </c>
      <c r="B684" s="195" t="s">
        <v>1180</v>
      </c>
      <c r="D684" s="221" t="s">
        <v>1179</v>
      </c>
      <c r="E684" s="226"/>
      <c r="F684" s="226" t="s">
        <v>908</v>
      </c>
      <c r="G684" s="220" t="str">
        <f t="shared" si="61"/>
        <v>23/5/2008</v>
      </c>
      <c r="H684" s="221">
        <v>23</v>
      </c>
      <c r="I684" s="221">
        <v>5</v>
      </c>
      <c r="J684" s="221">
        <v>2008</v>
      </c>
      <c r="K684" s="221" t="s">
        <v>184</v>
      </c>
      <c r="L684" s="226"/>
      <c r="M684" s="221" t="s">
        <v>869</v>
      </c>
      <c r="N684" s="239">
        <v>3622.68</v>
      </c>
      <c r="O684" s="239"/>
      <c r="Q684" s="221">
        <v>10</v>
      </c>
      <c r="R684" s="112">
        <f t="shared" si="63"/>
        <v>30.180666666666667</v>
      </c>
      <c r="S684" s="223">
        <f t="shared" si="60"/>
        <v>2142.8273333333332</v>
      </c>
      <c r="T684" s="223">
        <f t="shared" si="64"/>
        <v>1479.8526666666667</v>
      </c>
      <c r="U684" s="221">
        <v>11040</v>
      </c>
      <c r="V684" s="233"/>
      <c r="W684" s="223"/>
      <c r="X684" s="196">
        <f t="shared" si="62"/>
        <v>71</v>
      </c>
    </row>
    <row r="685" spans="1:24" s="221" customFormat="1">
      <c r="A685" s="221" t="s">
        <v>1178</v>
      </c>
      <c r="B685" s="195" t="s">
        <v>1176</v>
      </c>
      <c r="D685" s="221" t="s">
        <v>1175</v>
      </c>
      <c r="E685" s="226"/>
      <c r="F685" s="226" t="s">
        <v>908</v>
      </c>
      <c r="G685" s="220" t="str">
        <f t="shared" si="61"/>
        <v>23/5/2008</v>
      </c>
      <c r="H685" s="221">
        <v>23</v>
      </c>
      <c r="I685" s="221">
        <v>5</v>
      </c>
      <c r="J685" s="221">
        <v>2008</v>
      </c>
      <c r="K685" s="221" t="s">
        <v>184</v>
      </c>
      <c r="L685" s="226"/>
      <c r="M685" s="221" t="s">
        <v>869</v>
      </c>
      <c r="N685" s="239">
        <v>3836.12</v>
      </c>
      <c r="O685" s="239"/>
      <c r="Q685" s="221">
        <v>10</v>
      </c>
      <c r="R685" s="112">
        <f t="shared" si="63"/>
        <v>31.959333333333333</v>
      </c>
      <c r="S685" s="223">
        <f t="shared" si="60"/>
        <v>2269.1126666666669</v>
      </c>
      <c r="T685" s="223">
        <f t="shared" si="64"/>
        <v>1567.007333333333</v>
      </c>
      <c r="U685" s="221">
        <v>11040</v>
      </c>
      <c r="V685" s="233"/>
      <c r="W685" s="223"/>
      <c r="X685" s="196">
        <f t="shared" si="62"/>
        <v>71</v>
      </c>
    </row>
    <row r="686" spans="1:24" s="221" customFormat="1">
      <c r="A686" s="221" t="s">
        <v>1177</v>
      </c>
      <c r="B686" s="195" t="s">
        <v>1176</v>
      </c>
      <c r="D686" s="221" t="s">
        <v>1175</v>
      </c>
      <c r="E686" s="226"/>
      <c r="F686" s="226" t="s">
        <v>908</v>
      </c>
      <c r="G686" s="220" t="str">
        <f t="shared" si="61"/>
        <v>23/5/2008</v>
      </c>
      <c r="H686" s="221">
        <v>23</v>
      </c>
      <c r="I686" s="221">
        <v>5</v>
      </c>
      <c r="J686" s="221">
        <v>2008</v>
      </c>
      <c r="K686" s="221" t="s">
        <v>184</v>
      </c>
      <c r="L686" s="226"/>
      <c r="M686" s="221" t="s">
        <v>869</v>
      </c>
      <c r="N686" s="239">
        <v>3836.12</v>
      </c>
      <c r="O686" s="239"/>
      <c r="Q686" s="221">
        <v>10</v>
      </c>
      <c r="R686" s="112">
        <f t="shared" si="63"/>
        <v>31.959333333333333</v>
      </c>
      <c r="S686" s="223">
        <f t="shared" si="60"/>
        <v>2269.1126666666669</v>
      </c>
      <c r="T686" s="223">
        <f t="shared" si="64"/>
        <v>1567.007333333333</v>
      </c>
      <c r="U686" s="221">
        <v>11040</v>
      </c>
      <c r="V686" s="233"/>
      <c r="W686" s="223"/>
      <c r="X686" s="196">
        <f t="shared" si="62"/>
        <v>71</v>
      </c>
    </row>
    <row r="687" spans="1:24" s="221" customFormat="1">
      <c r="A687" s="221" t="s">
        <v>1174</v>
      </c>
      <c r="B687" s="195" t="s">
        <v>1169</v>
      </c>
      <c r="E687" s="226"/>
      <c r="F687" s="226" t="s">
        <v>1156</v>
      </c>
      <c r="G687" s="220" t="str">
        <f t="shared" si="61"/>
        <v>28/5/2008</v>
      </c>
      <c r="H687" s="221">
        <v>28</v>
      </c>
      <c r="I687" s="221">
        <v>5</v>
      </c>
      <c r="J687" s="221">
        <v>2008</v>
      </c>
      <c r="K687" s="221" t="s">
        <v>184</v>
      </c>
      <c r="L687" s="226"/>
      <c r="M687" s="221" t="s">
        <v>869</v>
      </c>
      <c r="N687" s="239">
        <v>7105</v>
      </c>
      <c r="O687" s="239"/>
      <c r="Q687" s="221">
        <v>10</v>
      </c>
      <c r="R687" s="112">
        <f t="shared" si="63"/>
        <v>59.199999999999996</v>
      </c>
      <c r="S687" s="223">
        <f t="shared" si="60"/>
        <v>4203.2</v>
      </c>
      <c r="T687" s="223">
        <f t="shared" si="64"/>
        <v>2901.8</v>
      </c>
      <c r="U687" s="221">
        <v>11055</v>
      </c>
      <c r="V687" s="233"/>
      <c r="W687" s="223"/>
      <c r="X687" s="196">
        <f t="shared" si="62"/>
        <v>71</v>
      </c>
    </row>
    <row r="688" spans="1:24" s="221" customFormat="1">
      <c r="A688" s="221" t="s">
        <v>1173</v>
      </c>
      <c r="B688" s="195" t="s">
        <v>1169</v>
      </c>
      <c r="E688" s="226"/>
      <c r="F688" s="226" t="s">
        <v>1156</v>
      </c>
      <c r="G688" s="220" t="str">
        <f t="shared" si="61"/>
        <v>28/5/2008</v>
      </c>
      <c r="H688" s="221">
        <v>28</v>
      </c>
      <c r="I688" s="221">
        <v>5</v>
      </c>
      <c r="J688" s="221">
        <v>2008</v>
      </c>
      <c r="K688" s="221" t="s">
        <v>184</v>
      </c>
      <c r="L688" s="226"/>
      <c r="M688" s="221" t="s">
        <v>1114</v>
      </c>
      <c r="N688" s="239">
        <v>7105</v>
      </c>
      <c r="O688" s="239"/>
      <c r="Q688" s="221">
        <v>10</v>
      </c>
      <c r="R688" s="112">
        <f t="shared" si="63"/>
        <v>59.199999999999996</v>
      </c>
      <c r="S688" s="223">
        <f t="shared" si="60"/>
        <v>4203.2</v>
      </c>
      <c r="T688" s="223">
        <f t="shared" si="64"/>
        <v>2901.8</v>
      </c>
      <c r="V688" s="233"/>
      <c r="W688" s="223"/>
      <c r="X688" s="196">
        <f t="shared" si="62"/>
        <v>71</v>
      </c>
    </row>
    <row r="689" spans="1:24" s="221" customFormat="1">
      <c r="A689" s="221" t="s">
        <v>1172</v>
      </c>
      <c r="B689" s="195" t="s">
        <v>1169</v>
      </c>
      <c r="E689" s="226"/>
      <c r="F689" s="226" t="s">
        <v>1156</v>
      </c>
      <c r="G689" s="220" t="str">
        <f t="shared" si="61"/>
        <v>28/5/2008</v>
      </c>
      <c r="H689" s="221">
        <v>28</v>
      </c>
      <c r="I689" s="221">
        <v>5</v>
      </c>
      <c r="J689" s="221">
        <v>2008</v>
      </c>
      <c r="K689" s="221" t="s">
        <v>184</v>
      </c>
      <c r="L689" s="226"/>
      <c r="M689" s="221" t="s">
        <v>52</v>
      </c>
      <c r="N689" s="239">
        <v>7105</v>
      </c>
      <c r="O689" s="239"/>
      <c r="Q689" s="221">
        <v>10</v>
      </c>
      <c r="R689" s="112">
        <f t="shared" si="63"/>
        <v>59.199999999999996</v>
      </c>
      <c r="S689" s="223">
        <f t="shared" ref="S689:S752" si="65">X689*R689</f>
        <v>4203.2</v>
      </c>
      <c r="T689" s="223">
        <f t="shared" si="64"/>
        <v>2901.8</v>
      </c>
      <c r="V689" s="233"/>
      <c r="W689" s="223"/>
      <c r="X689" s="196">
        <f t="shared" si="62"/>
        <v>71</v>
      </c>
    </row>
    <row r="690" spans="1:24" s="221" customFormat="1">
      <c r="A690" s="221" t="s">
        <v>1171</v>
      </c>
      <c r="B690" s="195" t="s">
        <v>1169</v>
      </c>
      <c r="E690" s="226"/>
      <c r="F690" s="226" t="s">
        <v>1156</v>
      </c>
      <c r="G690" s="220" t="str">
        <f t="shared" si="61"/>
        <v>28/5/2008</v>
      </c>
      <c r="H690" s="221">
        <v>28</v>
      </c>
      <c r="I690" s="221">
        <v>5</v>
      </c>
      <c r="J690" s="221">
        <v>2008</v>
      </c>
      <c r="K690" s="221" t="s">
        <v>184</v>
      </c>
      <c r="L690" s="226"/>
      <c r="M690" s="221" t="s">
        <v>1050</v>
      </c>
      <c r="N690" s="239">
        <v>7105</v>
      </c>
      <c r="O690" s="239"/>
      <c r="Q690" s="221">
        <v>10</v>
      </c>
      <c r="R690" s="112">
        <f t="shared" si="63"/>
        <v>59.199999999999996</v>
      </c>
      <c r="S690" s="223">
        <f t="shared" si="65"/>
        <v>4203.2</v>
      </c>
      <c r="T690" s="223">
        <f t="shared" si="64"/>
        <v>2901.8</v>
      </c>
      <c r="V690" s="233"/>
      <c r="W690" s="223"/>
      <c r="X690" s="196">
        <f t="shared" si="62"/>
        <v>71</v>
      </c>
    </row>
    <row r="691" spans="1:24" s="221" customFormat="1">
      <c r="A691" s="221" t="s">
        <v>1170</v>
      </c>
      <c r="B691" s="195" t="s">
        <v>1169</v>
      </c>
      <c r="E691" s="226"/>
      <c r="F691" s="226" t="s">
        <v>1156</v>
      </c>
      <c r="G691" s="220" t="str">
        <f t="shared" si="61"/>
        <v>28/5/2008</v>
      </c>
      <c r="H691" s="221">
        <v>28</v>
      </c>
      <c r="I691" s="221">
        <v>5</v>
      </c>
      <c r="J691" s="221">
        <v>2008</v>
      </c>
      <c r="K691" s="221" t="s">
        <v>184</v>
      </c>
      <c r="L691" s="226"/>
      <c r="M691" s="221" t="s">
        <v>1107</v>
      </c>
      <c r="N691" s="239">
        <v>7105</v>
      </c>
      <c r="O691" s="239"/>
      <c r="Q691" s="221">
        <v>10</v>
      </c>
      <c r="R691" s="112">
        <f t="shared" si="63"/>
        <v>59.199999999999996</v>
      </c>
      <c r="S691" s="223">
        <f t="shared" si="65"/>
        <v>4203.2</v>
      </c>
      <c r="T691" s="223">
        <f t="shared" si="64"/>
        <v>2901.8</v>
      </c>
      <c r="V691" s="233"/>
      <c r="W691" s="223"/>
      <c r="X691" s="196">
        <f t="shared" si="62"/>
        <v>71</v>
      </c>
    </row>
    <row r="692" spans="1:24" s="221" customFormat="1">
      <c r="A692" s="221" t="s">
        <v>1168</v>
      </c>
      <c r="B692" s="195" t="s">
        <v>1167</v>
      </c>
      <c r="E692" s="226"/>
      <c r="F692" s="226" t="s">
        <v>1156</v>
      </c>
      <c r="G692" s="220" t="str">
        <f t="shared" si="61"/>
        <v>28/5/2008</v>
      </c>
      <c r="H692" s="221">
        <v>28</v>
      </c>
      <c r="I692" s="221">
        <v>5</v>
      </c>
      <c r="J692" s="221">
        <v>2008</v>
      </c>
      <c r="K692" s="221" t="s">
        <v>184</v>
      </c>
      <c r="L692" s="226"/>
      <c r="M692" s="221" t="s">
        <v>869</v>
      </c>
      <c r="N692" s="239">
        <v>6171.2</v>
      </c>
      <c r="O692" s="239"/>
      <c r="Q692" s="221">
        <v>10</v>
      </c>
      <c r="R692" s="112">
        <f t="shared" si="63"/>
        <v>51.418333333333329</v>
      </c>
      <c r="S692" s="223">
        <f t="shared" si="65"/>
        <v>3650.7016666666664</v>
      </c>
      <c r="T692" s="223">
        <f t="shared" si="64"/>
        <v>2520.4983333333334</v>
      </c>
      <c r="U692" s="221">
        <v>11055</v>
      </c>
      <c r="V692" s="233"/>
      <c r="W692" s="223"/>
      <c r="X692" s="196">
        <f t="shared" si="62"/>
        <v>71</v>
      </c>
    </row>
    <row r="693" spans="1:24" s="221" customFormat="1">
      <c r="A693" s="221" t="s">
        <v>1166</v>
      </c>
      <c r="B693" s="195" t="s">
        <v>1164</v>
      </c>
      <c r="E693" s="226"/>
      <c r="F693" s="226" t="s">
        <v>1156</v>
      </c>
      <c r="G693" s="220" t="str">
        <f t="shared" si="61"/>
        <v>28/5/2008</v>
      </c>
      <c r="H693" s="221">
        <v>28</v>
      </c>
      <c r="I693" s="221">
        <v>5</v>
      </c>
      <c r="J693" s="221">
        <v>2008</v>
      </c>
      <c r="K693" s="221" t="s">
        <v>184</v>
      </c>
      <c r="L693" s="226"/>
      <c r="M693" s="221" t="s">
        <v>869</v>
      </c>
      <c r="N693" s="239">
        <v>7308</v>
      </c>
      <c r="O693" s="239"/>
      <c r="Q693" s="221">
        <v>10</v>
      </c>
      <c r="R693" s="112">
        <f t="shared" si="63"/>
        <v>60.891666666666673</v>
      </c>
      <c r="S693" s="223">
        <f t="shared" si="65"/>
        <v>4323.3083333333334</v>
      </c>
      <c r="T693" s="223">
        <f t="shared" si="64"/>
        <v>2984.6916666666666</v>
      </c>
      <c r="U693" s="221">
        <v>11055</v>
      </c>
      <c r="V693" s="233"/>
      <c r="W693" s="223"/>
      <c r="X693" s="196">
        <f t="shared" si="62"/>
        <v>71</v>
      </c>
    </row>
    <row r="694" spans="1:24" s="221" customFormat="1">
      <c r="A694" s="221" t="s">
        <v>1165</v>
      </c>
      <c r="B694" s="195" t="s">
        <v>1164</v>
      </c>
      <c r="E694" s="226"/>
      <c r="F694" s="226" t="s">
        <v>1156</v>
      </c>
      <c r="G694" s="220" t="str">
        <f t="shared" si="61"/>
        <v>28/5/2008</v>
      </c>
      <c r="H694" s="221">
        <v>28</v>
      </c>
      <c r="I694" s="221">
        <v>5</v>
      </c>
      <c r="J694" s="221">
        <v>2008</v>
      </c>
      <c r="K694" s="221" t="s">
        <v>184</v>
      </c>
      <c r="L694" s="226"/>
      <c r="M694" s="221" t="s">
        <v>869</v>
      </c>
      <c r="N694" s="239">
        <v>7308</v>
      </c>
      <c r="O694" s="239"/>
      <c r="Q694" s="221">
        <v>10</v>
      </c>
      <c r="R694" s="112">
        <f t="shared" si="63"/>
        <v>60.891666666666673</v>
      </c>
      <c r="S694" s="223">
        <f t="shared" si="65"/>
        <v>4323.3083333333334</v>
      </c>
      <c r="T694" s="223">
        <f t="shared" si="64"/>
        <v>2984.6916666666666</v>
      </c>
      <c r="V694" s="233"/>
      <c r="W694" s="223"/>
      <c r="X694" s="196">
        <f t="shared" si="62"/>
        <v>71</v>
      </c>
    </row>
    <row r="695" spans="1:24" s="221" customFormat="1">
      <c r="A695" s="221" t="s">
        <v>1163</v>
      </c>
      <c r="B695" s="195" t="s">
        <v>1162</v>
      </c>
      <c r="E695" s="226"/>
      <c r="F695" s="226" t="s">
        <v>1156</v>
      </c>
      <c r="G695" s="220" t="str">
        <f t="shared" si="61"/>
        <v>28/5/2008</v>
      </c>
      <c r="H695" s="221">
        <v>28</v>
      </c>
      <c r="I695" s="221">
        <v>5</v>
      </c>
      <c r="J695" s="221">
        <v>2008</v>
      </c>
      <c r="K695" s="221" t="s">
        <v>184</v>
      </c>
      <c r="L695" s="226"/>
      <c r="M695" s="221" t="s">
        <v>869</v>
      </c>
      <c r="N695" s="239">
        <v>6171.2</v>
      </c>
      <c r="O695" s="239"/>
      <c r="Q695" s="221">
        <v>10</v>
      </c>
      <c r="R695" s="112">
        <f t="shared" si="63"/>
        <v>51.418333333333329</v>
      </c>
      <c r="S695" s="223">
        <f t="shared" si="65"/>
        <v>3650.7016666666664</v>
      </c>
      <c r="T695" s="223">
        <f t="shared" si="64"/>
        <v>2520.4983333333334</v>
      </c>
      <c r="U695" s="221">
        <v>11055</v>
      </c>
      <c r="V695" s="233"/>
      <c r="W695" s="223"/>
      <c r="X695" s="196">
        <f t="shared" si="62"/>
        <v>71</v>
      </c>
    </row>
    <row r="696" spans="1:24" s="221" customFormat="1">
      <c r="A696" s="221" t="s">
        <v>1161</v>
      </c>
      <c r="B696" s="195" t="s">
        <v>1159</v>
      </c>
      <c r="E696" s="226"/>
      <c r="F696" s="226" t="s">
        <v>1156</v>
      </c>
      <c r="G696" s="220" t="str">
        <f t="shared" si="61"/>
        <v>28/5/2008</v>
      </c>
      <c r="H696" s="221">
        <v>28</v>
      </c>
      <c r="I696" s="221">
        <v>5</v>
      </c>
      <c r="J696" s="221">
        <v>2008</v>
      </c>
      <c r="K696" s="221" t="s">
        <v>184</v>
      </c>
      <c r="L696" s="226"/>
      <c r="M696" s="221" t="s">
        <v>869</v>
      </c>
      <c r="N696" s="239">
        <v>6942.6</v>
      </c>
      <c r="O696" s="239"/>
      <c r="Q696" s="221">
        <v>10</v>
      </c>
      <c r="R696" s="112">
        <f t="shared" si="63"/>
        <v>57.846666666666671</v>
      </c>
      <c r="S696" s="223">
        <f t="shared" si="65"/>
        <v>4107.1133333333337</v>
      </c>
      <c r="T696" s="223">
        <f t="shared" si="64"/>
        <v>2835.4866666666667</v>
      </c>
      <c r="U696" s="221">
        <v>11055</v>
      </c>
      <c r="V696" s="233"/>
      <c r="W696" s="223"/>
      <c r="X696" s="196">
        <f t="shared" si="62"/>
        <v>71</v>
      </c>
    </row>
    <row r="697" spans="1:24" s="221" customFormat="1">
      <c r="A697" s="221" t="s">
        <v>1160</v>
      </c>
      <c r="B697" s="195" t="s">
        <v>1159</v>
      </c>
      <c r="E697" s="226"/>
      <c r="F697" s="226" t="s">
        <v>1156</v>
      </c>
      <c r="G697" s="220" t="str">
        <f t="shared" si="61"/>
        <v>28/5/2008</v>
      </c>
      <c r="H697" s="221">
        <v>28</v>
      </c>
      <c r="I697" s="221">
        <v>5</v>
      </c>
      <c r="J697" s="221">
        <v>2008</v>
      </c>
      <c r="K697" s="221" t="s">
        <v>184</v>
      </c>
      <c r="L697" s="226"/>
      <c r="M697" s="221" t="s">
        <v>869</v>
      </c>
      <c r="N697" s="239">
        <v>6942.6</v>
      </c>
      <c r="O697" s="239"/>
      <c r="Q697" s="221">
        <v>10</v>
      </c>
      <c r="R697" s="112">
        <f t="shared" si="63"/>
        <v>57.846666666666671</v>
      </c>
      <c r="S697" s="223">
        <f t="shared" si="65"/>
        <v>4107.1133333333337</v>
      </c>
      <c r="T697" s="223">
        <f t="shared" si="64"/>
        <v>2835.4866666666667</v>
      </c>
      <c r="V697" s="233"/>
      <c r="W697" s="223"/>
      <c r="X697" s="196">
        <f t="shared" si="62"/>
        <v>71</v>
      </c>
    </row>
    <row r="698" spans="1:24" s="221" customFormat="1">
      <c r="A698" s="221" t="s">
        <v>1158</v>
      </c>
      <c r="B698" s="195" t="s">
        <v>1157</v>
      </c>
      <c r="E698" s="226"/>
      <c r="F698" s="226" t="s">
        <v>1156</v>
      </c>
      <c r="G698" s="220" t="str">
        <f t="shared" si="61"/>
        <v>28/5/2008</v>
      </c>
      <c r="H698" s="221">
        <v>28</v>
      </c>
      <c r="I698" s="221">
        <v>5</v>
      </c>
      <c r="J698" s="221">
        <v>2008</v>
      </c>
      <c r="K698" s="221" t="s">
        <v>184</v>
      </c>
      <c r="L698" s="226"/>
      <c r="M698" s="221" t="s">
        <v>869</v>
      </c>
      <c r="N698" s="239">
        <v>6380</v>
      </c>
      <c r="O698" s="239"/>
      <c r="Q698" s="221">
        <v>10</v>
      </c>
      <c r="R698" s="112">
        <f t="shared" si="63"/>
        <v>53.158333333333331</v>
      </c>
      <c r="S698" s="223">
        <f t="shared" si="65"/>
        <v>3774.2416666666663</v>
      </c>
      <c r="T698" s="223">
        <f t="shared" si="64"/>
        <v>2605.7583333333337</v>
      </c>
      <c r="V698" s="233"/>
      <c r="W698" s="223"/>
      <c r="X698" s="196">
        <f t="shared" si="62"/>
        <v>71</v>
      </c>
    </row>
    <row r="699" spans="1:24" s="221" customFormat="1">
      <c r="A699" s="221" t="s">
        <v>1155</v>
      </c>
      <c r="B699" s="195" t="s">
        <v>1154</v>
      </c>
      <c r="E699" s="226"/>
      <c r="F699" s="226" t="s">
        <v>428</v>
      </c>
      <c r="G699" s="220" t="str">
        <f t="shared" si="61"/>
        <v>30/9/2008</v>
      </c>
      <c r="H699" s="221">
        <v>30</v>
      </c>
      <c r="I699" s="221">
        <v>9</v>
      </c>
      <c r="J699" s="221">
        <v>2008</v>
      </c>
      <c r="K699" s="221" t="s">
        <v>37</v>
      </c>
      <c r="L699" s="226"/>
      <c r="M699" s="221" t="s">
        <v>869</v>
      </c>
      <c r="N699" s="239">
        <v>4905</v>
      </c>
      <c r="O699" s="240" t="s">
        <v>1153</v>
      </c>
      <c r="Q699" s="221">
        <v>10</v>
      </c>
      <c r="R699" s="112">
        <f t="shared" si="63"/>
        <v>40.866666666666667</v>
      </c>
      <c r="S699" s="223">
        <f t="shared" si="65"/>
        <v>2738.0666666666666</v>
      </c>
      <c r="T699" s="223">
        <f t="shared" si="64"/>
        <v>2166.9333333333334</v>
      </c>
      <c r="V699" s="233"/>
      <c r="W699" s="223"/>
      <c r="X699" s="196">
        <f t="shared" si="62"/>
        <v>67</v>
      </c>
    </row>
    <row r="700" spans="1:24" s="221" customFormat="1">
      <c r="A700" s="221" t="s">
        <v>1152</v>
      </c>
      <c r="B700" s="195" t="s">
        <v>1151</v>
      </c>
      <c r="D700" s="221" t="s">
        <v>1150</v>
      </c>
      <c r="E700" s="226"/>
      <c r="F700" s="226" t="s">
        <v>1147</v>
      </c>
      <c r="G700" s="220" t="str">
        <f t="shared" si="61"/>
        <v>17/6/2008</v>
      </c>
      <c r="H700" s="221">
        <v>17</v>
      </c>
      <c r="I700" s="221">
        <v>6</v>
      </c>
      <c r="J700" s="221">
        <v>2008</v>
      </c>
      <c r="K700" s="221" t="s">
        <v>1129</v>
      </c>
      <c r="L700" s="226"/>
      <c r="M700" s="221" t="s">
        <v>869</v>
      </c>
      <c r="N700" s="239">
        <v>21895</v>
      </c>
      <c r="O700" s="239"/>
      <c r="Q700" s="221">
        <v>10</v>
      </c>
      <c r="R700" s="112">
        <f t="shared" si="63"/>
        <v>182.45000000000002</v>
      </c>
      <c r="S700" s="223">
        <f t="shared" si="65"/>
        <v>12771.500000000002</v>
      </c>
      <c r="T700" s="223">
        <f t="shared" si="64"/>
        <v>9123.4999999999982</v>
      </c>
      <c r="U700" s="221">
        <v>11121</v>
      </c>
      <c r="V700" s="233"/>
      <c r="W700" s="223"/>
      <c r="X700" s="196">
        <f t="shared" si="62"/>
        <v>70</v>
      </c>
    </row>
    <row r="701" spans="1:24" s="221" customFormat="1">
      <c r="A701" s="221" t="s">
        <v>1149</v>
      </c>
      <c r="B701" s="195" t="s">
        <v>1148</v>
      </c>
      <c r="E701" s="226"/>
      <c r="F701" s="226" t="s">
        <v>1147</v>
      </c>
      <c r="G701" s="220" t="str">
        <f t="shared" si="61"/>
        <v>22/9/2008</v>
      </c>
      <c r="H701" s="221">
        <v>22</v>
      </c>
      <c r="I701" s="222">
        <v>9</v>
      </c>
      <c r="J701" s="221">
        <v>2008</v>
      </c>
      <c r="K701" s="221" t="s">
        <v>37</v>
      </c>
      <c r="L701" s="226"/>
      <c r="M701" s="221" t="s">
        <v>869</v>
      </c>
      <c r="N701" s="239">
        <v>5301.95</v>
      </c>
      <c r="O701" s="239"/>
      <c r="Q701" s="221">
        <v>10</v>
      </c>
      <c r="R701" s="112">
        <f t="shared" si="63"/>
        <v>44.174583333333338</v>
      </c>
      <c r="S701" s="223">
        <f t="shared" si="65"/>
        <v>2959.6970833333335</v>
      </c>
      <c r="T701" s="223">
        <f t="shared" si="64"/>
        <v>2342.2529166666664</v>
      </c>
      <c r="V701" s="233"/>
      <c r="W701" s="223"/>
      <c r="X701" s="196">
        <f t="shared" si="62"/>
        <v>67</v>
      </c>
    </row>
    <row r="702" spans="1:24" s="221" customFormat="1">
      <c r="A702" s="221" t="s">
        <v>1146</v>
      </c>
      <c r="B702" s="195" t="s">
        <v>1145</v>
      </c>
      <c r="E702" s="226"/>
      <c r="F702" s="226" t="s">
        <v>1126</v>
      </c>
      <c r="G702" s="220" t="str">
        <f t="shared" si="61"/>
        <v>24/6/2008</v>
      </c>
      <c r="H702" s="221">
        <v>24</v>
      </c>
      <c r="I702" s="221">
        <v>6</v>
      </c>
      <c r="J702" s="221">
        <v>2008</v>
      </c>
      <c r="K702" s="221" t="s">
        <v>1129</v>
      </c>
      <c r="L702" s="226"/>
      <c r="M702" s="221" t="s">
        <v>869</v>
      </c>
      <c r="N702" s="239">
        <v>3341.96</v>
      </c>
      <c r="O702" s="239"/>
      <c r="Q702" s="221">
        <v>10</v>
      </c>
      <c r="R702" s="112">
        <f t="shared" si="63"/>
        <v>27.841333333333335</v>
      </c>
      <c r="S702" s="223">
        <f t="shared" si="65"/>
        <v>1948.8933333333334</v>
      </c>
      <c r="T702" s="223">
        <f t="shared" si="64"/>
        <v>1393.0666666666666</v>
      </c>
      <c r="U702" s="221">
        <v>11148</v>
      </c>
      <c r="V702" s="233"/>
      <c r="W702" s="223"/>
      <c r="X702" s="196">
        <f t="shared" si="62"/>
        <v>70</v>
      </c>
    </row>
    <row r="703" spans="1:24" s="221" customFormat="1">
      <c r="A703" s="221" t="s">
        <v>1144</v>
      </c>
      <c r="B703" s="195" t="s">
        <v>1143</v>
      </c>
      <c r="E703" s="226"/>
      <c r="F703" s="226" t="s">
        <v>1126</v>
      </c>
      <c r="G703" s="220" t="str">
        <f t="shared" si="61"/>
        <v>24/6/2008</v>
      </c>
      <c r="H703" s="221">
        <v>24</v>
      </c>
      <c r="I703" s="221">
        <v>6</v>
      </c>
      <c r="J703" s="221">
        <v>2008</v>
      </c>
      <c r="K703" s="221" t="s">
        <v>1129</v>
      </c>
      <c r="L703" s="226"/>
      <c r="M703" s="221" t="s">
        <v>869</v>
      </c>
      <c r="N703" s="239">
        <v>6978.56</v>
      </c>
      <c r="O703" s="239" t="s">
        <v>1132</v>
      </c>
      <c r="Q703" s="221">
        <v>10</v>
      </c>
      <c r="R703" s="112">
        <f t="shared" si="63"/>
        <v>58.146333333333338</v>
      </c>
      <c r="S703" s="223">
        <f t="shared" si="65"/>
        <v>4070.2433333333338</v>
      </c>
      <c r="T703" s="223">
        <f t="shared" si="64"/>
        <v>2908.3166666666666</v>
      </c>
      <c r="U703" s="221">
        <v>11148</v>
      </c>
      <c r="V703" s="233"/>
      <c r="W703" s="223"/>
      <c r="X703" s="196">
        <f t="shared" si="62"/>
        <v>70</v>
      </c>
    </row>
    <row r="704" spans="1:24" s="221" customFormat="1">
      <c r="A704" s="221" t="s">
        <v>1142</v>
      </c>
      <c r="B704" s="195" t="s">
        <v>1141</v>
      </c>
      <c r="E704" s="226"/>
      <c r="F704" s="226" t="s">
        <v>1126</v>
      </c>
      <c r="G704" s="220" t="str">
        <f t="shared" si="61"/>
        <v>24/6/2008</v>
      </c>
      <c r="H704" s="221">
        <v>24</v>
      </c>
      <c r="I704" s="221">
        <v>6</v>
      </c>
      <c r="J704" s="221">
        <v>2008</v>
      </c>
      <c r="K704" s="221" t="s">
        <v>1129</v>
      </c>
      <c r="L704" s="226"/>
      <c r="M704" s="221" t="s">
        <v>869</v>
      </c>
      <c r="N704" s="239">
        <v>5603.96</v>
      </c>
      <c r="O704" s="239"/>
      <c r="Q704" s="221">
        <v>10</v>
      </c>
      <c r="R704" s="112">
        <f t="shared" si="63"/>
        <v>46.69133333333334</v>
      </c>
      <c r="S704" s="223">
        <f t="shared" si="65"/>
        <v>3268.3933333333339</v>
      </c>
      <c r="T704" s="223">
        <f t="shared" si="64"/>
        <v>2335.5666666666662</v>
      </c>
      <c r="U704" s="221">
        <v>11148</v>
      </c>
      <c r="V704" s="233"/>
      <c r="W704" s="223"/>
      <c r="X704" s="196">
        <f t="shared" si="62"/>
        <v>70</v>
      </c>
    </row>
    <row r="705" spans="1:24" s="221" customFormat="1">
      <c r="A705" s="221" t="s">
        <v>1140</v>
      </c>
      <c r="B705" s="195" t="s">
        <v>1139</v>
      </c>
      <c r="E705" s="226"/>
      <c r="F705" s="226" t="s">
        <v>1126</v>
      </c>
      <c r="G705" s="220" t="str">
        <f t="shared" si="61"/>
        <v>24/6/2008</v>
      </c>
      <c r="H705" s="221">
        <v>24</v>
      </c>
      <c r="I705" s="221">
        <v>6</v>
      </c>
      <c r="J705" s="221">
        <v>2008</v>
      </c>
      <c r="K705" s="221" t="s">
        <v>1129</v>
      </c>
      <c r="L705" s="226"/>
      <c r="M705" s="221" t="s">
        <v>869</v>
      </c>
      <c r="N705" s="239">
        <v>4294.32</v>
      </c>
      <c r="O705" s="239"/>
      <c r="Q705" s="221">
        <v>10</v>
      </c>
      <c r="R705" s="112">
        <f t="shared" si="63"/>
        <v>35.777666666666669</v>
      </c>
      <c r="S705" s="223">
        <f t="shared" si="65"/>
        <v>2504.436666666667</v>
      </c>
      <c r="T705" s="223">
        <f t="shared" si="64"/>
        <v>1789.8833333333328</v>
      </c>
      <c r="U705" s="221">
        <v>11148</v>
      </c>
      <c r="V705" s="233"/>
      <c r="W705" s="223"/>
      <c r="X705" s="196">
        <f t="shared" si="62"/>
        <v>70</v>
      </c>
    </row>
    <row r="706" spans="1:24" s="221" customFormat="1">
      <c r="A706" s="221" t="s">
        <v>1138</v>
      </c>
      <c r="B706" s="195" t="s">
        <v>1137</v>
      </c>
      <c r="E706" s="226"/>
      <c r="F706" s="226" t="s">
        <v>1126</v>
      </c>
      <c r="G706" s="220" t="str">
        <f t="shared" si="61"/>
        <v>24/6/2008</v>
      </c>
      <c r="H706" s="221">
        <v>24</v>
      </c>
      <c r="I706" s="221">
        <v>6</v>
      </c>
      <c r="J706" s="221">
        <v>2008</v>
      </c>
      <c r="K706" s="221" t="s">
        <v>1129</v>
      </c>
      <c r="L706" s="226"/>
      <c r="M706" s="221" t="s">
        <v>869</v>
      </c>
      <c r="N706" s="239">
        <v>12641.68</v>
      </c>
      <c r="O706" s="239"/>
      <c r="Q706" s="221">
        <v>10</v>
      </c>
      <c r="R706" s="112">
        <f t="shared" si="63"/>
        <v>105.339</v>
      </c>
      <c r="S706" s="223">
        <f t="shared" si="65"/>
        <v>7373.73</v>
      </c>
      <c r="T706" s="223">
        <f t="shared" si="64"/>
        <v>5267.9500000000007</v>
      </c>
      <c r="U706" s="221">
        <v>11148</v>
      </c>
      <c r="V706" s="233"/>
      <c r="W706" s="223"/>
      <c r="X706" s="196">
        <f t="shared" si="62"/>
        <v>70</v>
      </c>
    </row>
    <row r="707" spans="1:24" s="221" customFormat="1">
      <c r="A707" s="221" t="s">
        <v>1136</v>
      </c>
      <c r="B707" s="195" t="s">
        <v>1135</v>
      </c>
      <c r="E707" s="226"/>
      <c r="F707" s="226" t="s">
        <v>1126</v>
      </c>
      <c r="G707" s="220" t="str">
        <f t="shared" si="61"/>
        <v>24/6/2008</v>
      </c>
      <c r="H707" s="221">
        <v>24</v>
      </c>
      <c r="I707" s="221">
        <v>6</v>
      </c>
      <c r="J707" s="221">
        <v>2008</v>
      </c>
      <c r="K707" s="221" t="s">
        <v>1129</v>
      </c>
      <c r="L707" s="226"/>
      <c r="M707" s="221" t="s">
        <v>869</v>
      </c>
      <c r="N707" s="239">
        <v>5765.2</v>
      </c>
      <c r="O707" s="239"/>
      <c r="Q707" s="221">
        <v>10</v>
      </c>
      <c r="R707" s="112">
        <f t="shared" si="63"/>
        <v>48.034999999999997</v>
      </c>
      <c r="S707" s="223">
        <f t="shared" si="65"/>
        <v>3362.45</v>
      </c>
      <c r="T707" s="223">
        <f t="shared" si="64"/>
        <v>2402.75</v>
      </c>
      <c r="U707" s="221">
        <v>11148</v>
      </c>
      <c r="V707" s="233"/>
      <c r="W707" s="223"/>
      <c r="X707" s="196">
        <f t="shared" si="62"/>
        <v>70</v>
      </c>
    </row>
    <row r="708" spans="1:24" s="221" customFormat="1">
      <c r="A708" s="221" t="s">
        <v>1134</v>
      </c>
      <c r="B708" s="195" t="s">
        <v>1133</v>
      </c>
      <c r="E708" s="226"/>
      <c r="F708" s="226" t="s">
        <v>1126</v>
      </c>
      <c r="G708" s="220" t="str">
        <f t="shared" si="61"/>
        <v>24/6/2008</v>
      </c>
      <c r="H708" s="221">
        <v>24</v>
      </c>
      <c r="I708" s="221">
        <v>6</v>
      </c>
      <c r="J708" s="221">
        <v>2008</v>
      </c>
      <c r="K708" s="221" t="s">
        <v>1129</v>
      </c>
      <c r="L708" s="226"/>
      <c r="M708" s="221" t="s">
        <v>869</v>
      </c>
      <c r="N708" s="239">
        <v>4756</v>
      </c>
      <c r="O708" s="239" t="s">
        <v>1132</v>
      </c>
      <c r="Q708" s="221">
        <v>10</v>
      </c>
      <c r="R708" s="112">
        <f t="shared" si="63"/>
        <v>39.625</v>
      </c>
      <c r="S708" s="223">
        <f t="shared" si="65"/>
        <v>2773.75</v>
      </c>
      <c r="T708" s="223">
        <f t="shared" si="64"/>
        <v>1982.25</v>
      </c>
      <c r="U708" s="221">
        <v>11148</v>
      </c>
      <c r="V708" s="233"/>
      <c r="W708" s="223"/>
      <c r="X708" s="196">
        <f t="shared" si="62"/>
        <v>70</v>
      </c>
    </row>
    <row r="709" spans="1:24" s="221" customFormat="1">
      <c r="A709" s="221" t="s">
        <v>1131</v>
      </c>
      <c r="B709" s="195" t="s">
        <v>1130</v>
      </c>
      <c r="E709" s="226"/>
      <c r="F709" s="226" t="s">
        <v>1126</v>
      </c>
      <c r="G709" s="220" t="str">
        <f t="shared" si="61"/>
        <v>24/6/2008</v>
      </c>
      <c r="H709" s="221">
        <v>24</v>
      </c>
      <c r="I709" s="221">
        <v>6</v>
      </c>
      <c r="J709" s="221">
        <v>2008</v>
      </c>
      <c r="K709" s="221" t="s">
        <v>1129</v>
      </c>
      <c r="L709" s="226"/>
      <c r="M709" s="221" t="s">
        <v>869</v>
      </c>
      <c r="N709" s="239">
        <v>5505.36</v>
      </c>
      <c r="O709" s="239"/>
      <c r="Q709" s="221">
        <v>10</v>
      </c>
      <c r="R709" s="112">
        <f t="shared" si="63"/>
        <v>45.86966666666666</v>
      </c>
      <c r="S709" s="223">
        <f t="shared" si="65"/>
        <v>3210.8766666666661</v>
      </c>
      <c r="T709" s="223">
        <f t="shared" si="64"/>
        <v>2294.4833333333336</v>
      </c>
      <c r="V709" s="233"/>
      <c r="W709" s="223"/>
      <c r="X709" s="196">
        <f t="shared" si="62"/>
        <v>70</v>
      </c>
    </row>
    <row r="710" spans="1:24" s="221" customFormat="1">
      <c r="A710" s="221" t="s">
        <v>1128</v>
      </c>
      <c r="B710" s="195" t="s">
        <v>1127</v>
      </c>
      <c r="E710" s="226"/>
      <c r="F710" s="226" t="s">
        <v>1126</v>
      </c>
      <c r="G710" s="220" t="str">
        <f t="shared" si="61"/>
        <v>1/7/2008</v>
      </c>
      <c r="H710" s="221">
        <v>1</v>
      </c>
      <c r="I710" s="221">
        <v>7</v>
      </c>
      <c r="J710" s="221">
        <v>2008</v>
      </c>
      <c r="L710" s="226"/>
      <c r="M710" s="221" t="s">
        <v>869</v>
      </c>
      <c r="N710" s="239">
        <v>5921.57</v>
      </c>
      <c r="O710" s="239" t="s">
        <v>1125</v>
      </c>
      <c r="Q710" s="221">
        <v>10</v>
      </c>
      <c r="R710" s="112">
        <f t="shared" si="63"/>
        <v>49.338083333333337</v>
      </c>
      <c r="S710" s="223">
        <f t="shared" si="65"/>
        <v>3404.3277500000004</v>
      </c>
      <c r="T710" s="223">
        <f t="shared" si="64"/>
        <v>2517.2422499999993</v>
      </c>
      <c r="V710" s="233"/>
      <c r="W710" s="223"/>
      <c r="X710" s="196">
        <f t="shared" si="62"/>
        <v>69</v>
      </c>
    </row>
    <row r="711" spans="1:24" s="221" customFormat="1">
      <c r="A711" s="221" t="s">
        <v>1124</v>
      </c>
      <c r="B711" s="195" t="s">
        <v>1123</v>
      </c>
      <c r="C711" s="221" t="s">
        <v>125</v>
      </c>
      <c r="E711" s="226"/>
      <c r="F711" s="226" t="s">
        <v>1021</v>
      </c>
      <c r="G711" s="220" t="str">
        <f t="shared" ref="G711:G774" si="66">CONCATENATE(H711,"/",I711,"/",J711,)</f>
        <v>2/7/2008</v>
      </c>
      <c r="H711" s="221">
        <v>2</v>
      </c>
      <c r="I711" s="221">
        <v>7</v>
      </c>
      <c r="J711" s="221">
        <v>2008</v>
      </c>
      <c r="L711" s="226"/>
      <c r="M711" s="221" t="s">
        <v>869</v>
      </c>
      <c r="N711" s="229">
        <v>16694.830000000002</v>
      </c>
      <c r="O711" s="238" t="s">
        <v>1122</v>
      </c>
      <c r="Q711" s="221">
        <v>10</v>
      </c>
      <c r="R711" s="112">
        <f t="shared" si="63"/>
        <v>139.11525000000003</v>
      </c>
      <c r="S711" s="223">
        <f t="shared" si="65"/>
        <v>9598.9522500000021</v>
      </c>
      <c r="T711" s="223">
        <f t="shared" si="64"/>
        <v>7095.8777499999997</v>
      </c>
      <c r="U711" s="221">
        <v>11224</v>
      </c>
      <c r="V711" s="233"/>
      <c r="W711" s="223"/>
      <c r="X711" s="196">
        <f t="shared" ref="X711:X774" si="67">IF((DATEDIF(G711,X$4,"m"))&gt;=120,120,(DATEDIF(G711,X$4,"m")))</f>
        <v>69</v>
      </c>
    </row>
    <row r="712" spans="1:24" s="221" customFormat="1">
      <c r="A712" s="221" t="s">
        <v>1121</v>
      </c>
      <c r="B712" s="195" t="s">
        <v>1120</v>
      </c>
      <c r="E712" s="226"/>
      <c r="F712" s="226" t="s">
        <v>928</v>
      </c>
      <c r="G712" s="220" t="str">
        <f t="shared" si="66"/>
        <v>7/8/2008</v>
      </c>
      <c r="H712" s="221">
        <v>7</v>
      </c>
      <c r="I712" s="221">
        <v>8</v>
      </c>
      <c r="J712" s="221">
        <v>2008</v>
      </c>
      <c r="L712" s="226"/>
      <c r="M712" s="221" t="s">
        <v>869</v>
      </c>
      <c r="N712" s="234">
        <v>19980</v>
      </c>
      <c r="O712" s="237" t="s">
        <v>85</v>
      </c>
      <c r="Q712" s="221">
        <v>10</v>
      </c>
      <c r="R712" s="112">
        <f t="shared" si="63"/>
        <v>166.49166666666667</v>
      </c>
      <c r="S712" s="223">
        <f t="shared" si="65"/>
        <v>11321.433333333334</v>
      </c>
      <c r="T712" s="223">
        <f t="shared" si="64"/>
        <v>8658.5666666666657</v>
      </c>
      <c r="U712" s="221">
        <v>11325</v>
      </c>
      <c r="V712" s="233"/>
      <c r="W712" s="223"/>
      <c r="X712" s="196">
        <f t="shared" si="67"/>
        <v>68</v>
      </c>
    </row>
    <row r="713" spans="1:24" s="221" customFormat="1">
      <c r="A713" s="221" t="s">
        <v>1119</v>
      </c>
      <c r="B713" s="221" t="s">
        <v>1118</v>
      </c>
      <c r="E713" s="226"/>
      <c r="F713" s="226" t="s">
        <v>928</v>
      </c>
      <c r="G713" s="220" t="str">
        <f t="shared" si="66"/>
        <v>4/11/2008</v>
      </c>
      <c r="H713" s="222">
        <v>4</v>
      </c>
      <c r="I713" s="221">
        <v>11</v>
      </c>
      <c r="J713" s="221">
        <v>2008</v>
      </c>
      <c r="K713" s="221" t="s">
        <v>37</v>
      </c>
      <c r="L713" s="226"/>
      <c r="M713" s="221" t="s">
        <v>869</v>
      </c>
      <c r="N713" s="234">
        <v>7195</v>
      </c>
      <c r="O713" s="237" t="s">
        <v>1117</v>
      </c>
      <c r="Q713" s="221">
        <v>10</v>
      </c>
      <c r="R713" s="112">
        <f t="shared" ref="R713:R776" si="68">(((N713)-1)/10)/12</f>
        <v>59.949999999999996</v>
      </c>
      <c r="S713" s="223">
        <f t="shared" si="65"/>
        <v>3896.7499999999995</v>
      </c>
      <c r="T713" s="223">
        <f t="shared" si="64"/>
        <v>3298.2500000000005</v>
      </c>
      <c r="U713" s="221">
        <v>11797</v>
      </c>
      <c r="V713" s="233"/>
      <c r="W713" s="223"/>
      <c r="X713" s="236">
        <f t="shared" si="67"/>
        <v>65</v>
      </c>
    </row>
    <row r="714" spans="1:24" s="221" customFormat="1">
      <c r="A714" s="221" t="s">
        <v>1116</v>
      </c>
      <c r="B714" s="195" t="s">
        <v>1115</v>
      </c>
      <c r="E714" s="226"/>
      <c r="F714" s="226" t="s">
        <v>928</v>
      </c>
      <c r="G714" s="220" t="str">
        <f t="shared" si="66"/>
        <v>4/11/2008</v>
      </c>
      <c r="H714" s="222">
        <v>4</v>
      </c>
      <c r="I714" s="221">
        <v>11</v>
      </c>
      <c r="J714" s="221">
        <v>2008</v>
      </c>
      <c r="K714" s="221" t="s">
        <v>37</v>
      </c>
      <c r="L714" s="226"/>
      <c r="M714" s="221" t="s">
        <v>1114</v>
      </c>
      <c r="N714" s="234">
        <v>7195</v>
      </c>
      <c r="O714" s="234"/>
      <c r="Q714" s="221">
        <v>10</v>
      </c>
      <c r="R714" s="112">
        <f t="shared" si="68"/>
        <v>59.949999999999996</v>
      </c>
      <c r="S714" s="223">
        <f t="shared" si="65"/>
        <v>3896.7499999999995</v>
      </c>
      <c r="T714" s="223">
        <f t="shared" ref="T714:T777" si="69">N714-S714</f>
        <v>3298.2500000000005</v>
      </c>
      <c r="U714" s="221">
        <v>11797</v>
      </c>
      <c r="V714" s="233"/>
      <c r="W714" s="223"/>
      <c r="X714" s="196">
        <f t="shared" si="67"/>
        <v>65</v>
      </c>
    </row>
    <row r="715" spans="1:24" s="221" customFormat="1">
      <c r="A715" s="221" t="s">
        <v>1113</v>
      </c>
      <c r="B715" s="195" t="s">
        <v>1112</v>
      </c>
      <c r="E715" s="226"/>
      <c r="F715" s="226" t="s">
        <v>928</v>
      </c>
      <c r="G715" s="220" t="str">
        <f t="shared" si="66"/>
        <v>4/11/2008</v>
      </c>
      <c r="H715" s="222">
        <v>4</v>
      </c>
      <c r="I715" s="221">
        <v>11</v>
      </c>
      <c r="J715" s="221">
        <v>2008</v>
      </c>
      <c r="K715" s="221" t="s">
        <v>37</v>
      </c>
      <c r="L715" s="226"/>
      <c r="M715" s="221" t="s">
        <v>52</v>
      </c>
      <c r="N715" s="234">
        <v>7195</v>
      </c>
      <c r="O715" s="234"/>
      <c r="Q715" s="221">
        <v>10</v>
      </c>
      <c r="R715" s="112">
        <f t="shared" si="68"/>
        <v>59.949999999999996</v>
      </c>
      <c r="S715" s="223">
        <f t="shared" si="65"/>
        <v>3896.7499999999995</v>
      </c>
      <c r="T715" s="223">
        <f t="shared" si="69"/>
        <v>3298.2500000000005</v>
      </c>
      <c r="U715" s="221">
        <v>11797</v>
      </c>
      <c r="V715" s="233"/>
      <c r="W715" s="223"/>
      <c r="X715" s="196">
        <f t="shared" si="67"/>
        <v>65</v>
      </c>
    </row>
    <row r="716" spans="1:24" s="221" customFormat="1">
      <c r="A716" s="221" t="s">
        <v>1111</v>
      </c>
      <c r="B716" s="195" t="s">
        <v>1110</v>
      </c>
      <c r="E716" s="226"/>
      <c r="F716" s="226" t="s">
        <v>928</v>
      </c>
      <c r="G716" s="220" t="str">
        <f t="shared" si="66"/>
        <v>4/11/2008</v>
      </c>
      <c r="H716" s="222">
        <v>4</v>
      </c>
      <c r="I716" s="221">
        <v>11</v>
      </c>
      <c r="J716" s="221">
        <v>2008</v>
      </c>
      <c r="K716" s="221" t="s">
        <v>37</v>
      </c>
      <c r="L716" s="226"/>
      <c r="M716" s="221" t="s">
        <v>1050</v>
      </c>
      <c r="N716" s="234">
        <v>7195</v>
      </c>
      <c r="O716" s="234"/>
      <c r="Q716" s="221">
        <v>10</v>
      </c>
      <c r="R716" s="112">
        <f t="shared" si="68"/>
        <v>59.949999999999996</v>
      </c>
      <c r="S716" s="223">
        <f t="shared" si="65"/>
        <v>3896.7499999999995</v>
      </c>
      <c r="T716" s="223">
        <f t="shared" si="69"/>
        <v>3298.2500000000005</v>
      </c>
      <c r="U716" s="221">
        <v>11797</v>
      </c>
      <c r="V716" s="233"/>
      <c r="W716" s="223"/>
      <c r="X716" s="196">
        <f t="shared" si="67"/>
        <v>65</v>
      </c>
    </row>
    <row r="717" spans="1:24" s="221" customFormat="1">
      <c r="A717" s="221" t="s">
        <v>1109</v>
      </c>
      <c r="B717" s="195" t="s">
        <v>1108</v>
      </c>
      <c r="E717" s="226"/>
      <c r="F717" s="226" t="s">
        <v>928</v>
      </c>
      <c r="G717" s="220" t="str">
        <f t="shared" si="66"/>
        <v>4/11/2008</v>
      </c>
      <c r="H717" s="222">
        <v>4</v>
      </c>
      <c r="I717" s="221">
        <v>11</v>
      </c>
      <c r="J717" s="221">
        <v>2008</v>
      </c>
      <c r="K717" s="221" t="s">
        <v>37</v>
      </c>
      <c r="L717" s="226"/>
      <c r="M717" s="221" t="s">
        <v>1107</v>
      </c>
      <c r="N717" s="234">
        <v>7195</v>
      </c>
      <c r="O717" s="234"/>
      <c r="Q717" s="221">
        <v>10</v>
      </c>
      <c r="R717" s="112">
        <f t="shared" si="68"/>
        <v>59.949999999999996</v>
      </c>
      <c r="S717" s="223">
        <f t="shared" si="65"/>
        <v>3896.7499999999995</v>
      </c>
      <c r="T717" s="223">
        <f t="shared" si="69"/>
        <v>3298.2500000000005</v>
      </c>
      <c r="U717" s="221">
        <v>11797</v>
      </c>
      <c r="V717" s="233"/>
      <c r="W717" s="223"/>
      <c r="X717" s="196">
        <f t="shared" si="67"/>
        <v>65</v>
      </c>
    </row>
    <row r="718" spans="1:24" s="221" customFormat="1">
      <c r="A718" s="221" t="s">
        <v>1106</v>
      </c>
      <c r="B718" s="195" t="s">
        <v>1104</v>
      </c>
      <c r="C718" s="221" t="s">
        <v>1103</v>
      </c>
      <c r="D718" s="221" t="s">
        <v>1102</v>
      </c>
      <c r="E718" s="226"/>
      <c r="F718" s="226" t="s">
        <v>1101</v>
      </c>
      <c r="G718" s="220" t="str">
        <f t="shared" si="66"/>
        <v>4/9/2008</v>
      </c>
      <c r="H718" s="221">
        <v>4</v>
      </c>
      <c r="I718" s="221">
        <v>9</v>
      </c>
      <c r="J718" s="221">
        <v>2008</v>
      </c>
      <c r="L718" s="226"/>
      <c r="M718" s="221" t="s">
        <v>869</v>
      </c>
      <c r="N718" s="234">
        <v>5000</v>
      </c>
      <c r="O718" s="234"/>
      <c r="Q718" s="221">
        <v>10</v>
      </c>
      <c r="R718" s="112">
        <f t="shared" si="68"/>
        <v>41.658333333333331</v>
      </c>
      <c r="S718" s="223">
        <f t="shared" si="65"/>
        <v>2791.1083333333331</v>
      </c>
      <c r="T718" s="223">
        <f t="shared" si="69"/>
        <v>2208.8916666666669</v>
      </c>
      <c r="U718" s="221">
        <v>11444</v>
      </c>
      <c r="V718" s="233"/>
      <c r="W718" s="223"/>
      <c r="X718" s="196">
        <f t="shared" si="67"/>
        <v>67</v>
      </c>
    </row>
    <row r="719" spans="1:24" s="221" customFormat="1">
      <c r="A719" s="221" t="s">
        <v>1105</v>
      </c>
      <c r="B719" s="195" t="s">
        <v>1104</v>
      </c>
      <c r="C719" s="221" t="s">
        <v>1103</v>
      </c>
      <c r="D719" s="221" t="s">
        <v>1102</v>
      </c>
      <c r="E719" s="226"/>
      <c r="F719" s="226" t="s">
        <v>1101</v>
      </c>
      <c r="G719" s="220" t="str">
        <f t="shared" si="66"/>
        <v>4/9/2008</v>
      </c>
      <c r="H719" s="221">
        <v>4</v>
      </c>
      <c r="I719" s="221">
        <v>9</v>
      </c>
      <c r="J719" s="221">
        <v>2008</v>
      </c>
      <c r="L719" s="226"/>
      <c r="M719" s="221" t="s">
        <v>869</v>
      </c>
      <c r="N719" s="234">
        <v>5000</v>
      </c>
      <c r="O719" s="234"/>
      <c r="Q719" s="221">
        <v>10</v>
      </c>
      <c r="R719" s="112">
        <f t="shared" si="68"/>
        <v>41.658333333333331</v>
      </c>
      <c r="S719" s="223">
        <f t="shared" si="65"/>
        <v>2791.1083333333331</v>
      </c>
      <c r="T719" s="223">
        <f t="shared" si="69"/>
        <v>2208.8916666666669</v>
      </c>
      <c r="U719" s="221">
        <v>11444</v>
      </c>
      <c r="V719" s="233"/>
      <c r="W719" s="223"/>
      <c r="X719" s="196">
        <f t="shared" si="67"/>
        <v>67</v>
      </c>
    </row>
    <row r="720" spans="1:24" s="221" customFormat="1">
      <c r="A720" s="221" t="s">
        <v>1100</v>
      </c>
      <c r="B720" s="195" t="s">
        <v>1099</v>
      </c>
      <c r="C720" s="221" t="s">
        <v>1096</v>
      </c>
      <c r="E720" s="226"/>
      <c r="F720" s="226" t="s">
        <v>1095</v>
      </c>
      <c r="G720" s="220" t="str">
        <f t="shared" si="66"/>
        <v>23/9/2008</v>
      </c>
      <c r="H720" s="221">
        <v>23</v>
      </c>
      <c r="I720" s="221">
        <v>9</v>
      </c>
      <c r="J720" s="221">
        <v>2008</v>
      </c>
      <c r="L720" s="226"/>
      <c r="M720" s="221" t="s">
        <v>869</v>
      </c>
      <c r="N720" s="234">
        <v>13012.75</v>
      </c>
      <c r="O720" s="234"/>
      <c r="Q720" s="221">
        <v>10</v>
      </c>
      <c r="R720" s="112">
        <f t="shared" si="68"/>
        <v>108.43124999999999</v>
      </c>
      <c r="S720" s="223">
        <f t="shared" si="65"/>
        <v>7264.8937499999993</v>
      </c>
      <c r="T720" s="223">
        <f t="shared" si="69"/>
        <v>5747.8562500000007</v>
      </c>
      <c r="U720" s="221">
        <v>11485</v>
      </c>
      <c r="V720" s="233"/>
      <c r="W720" s="223"/>
      <c r="X720" s="196">
        <f t="shared" si="67"/>
        <v>67</v>
      </c>
    </row>
    <row r="721" spans="1:24" s="221" customFormat="1">
      <c r="A721" s="221" t="s">
        <v>1098</v>
      </c>
      <c r="B721" s="195" t="s">
        <v>1097</v>
      </c>
      <c r="C721" s="221" t="s">
        <v>1096</v>
      </c>
      <c r="E721" s="226"/>
      <c r="F721" s="226" t="s">
        <v>1095</v>
      </c>
      <c r="G721" s="220" t="str">
        <f t="shared" si="66"/>
        <v>23/9/2008</v>
      </c>
      <c r="H721" s="221">
        <v>23</v>
      </c>
      <c r="I721" s="221">
        <v>9</v>
      </c>
      <c r="J721" s="221">
        <v>2008</v>
      </c>
      <c r="L721" s="226"/>
      <c r="M721" s="221" t="s">
        <v>869</v>
      </c>
      <c r="N721" s="234">
        <v>13224</v>
      </c>
      <c r="O721" s="234"/>
      <c r="Q721" s="221">
        <v>10</v>
      </c>
      <c r="R721" s="112">
        <f t="shared" si="68"/>
        <v>110.19166666666666</v>
      </c>
      <c r="S721" s="223">
        <f t="shared" si="65"/>
        <v>7382.8416666666662</v>
      </c>
      <c r="T721" s="223">
        <f t="shared" si="69"/>
        <v>5841.1583333333338</v>
      </c>
      <c r="U721" s="221">
        <v>11485</v>
      </c>
      <c r="V721" s="233"/>
      <c r="W721" s="223"/>
      <c r="X721" s="196">
        <f t="shared" si="67"/>
        <v>67</v>
      </c>
    </row>
    <row r="722" spans="1:24" s="221" customFormat="1" ht="31.5">
      <c r="A722" s="221" t="s">
        <v>1094</v>
      </c>
      <c r="B722" s="195" t="s">
        <v>1093</v>
      </c>
      <c r="D722" s="221" t="s">
        <v>1092</v>
      </c>
      <c r="E722" s="226"/>
      <c r="F722" s="226" t="s">
        <v>968</v>
      </c>
      <c r="G722" s="220" t="str">
        <f t="shared" si="66"/>
        <v>25/9/2008</v>
      </c>
      <c r="H722" s="221">
        <v>25</v>
      </c>
      <c r="I722" s="221">
        <v>9</v>
      </c>
      <c r="J722" s="221">
        <v>2008</v>
      </c>
      <c r="L722" s="226"/>
      <c r="M722" s="221" t="s">
        <v>869</v>
      </c>
      <c r="N722" s="234">
        <v>17162.2</v>
      </c>
      <c r="O722" s="234"/>
      <c r="Q722" s="221">
        <v>10</v>
      </c>
      <c r="R722" s="112">
        <f t="shared" si="68"/>
        <v>143.01000000000002</v>
      </c>
      <c r="S722" s="223">
        <f t="shared" si="65"/>
        <v>9581.6700000000019</v>
      </c>
      <c r="T722" s="223">
        <f t="shared" si="69"/>
        <v>7580.5299999999988</v>
      </c>
      <c r="U722" s="221">
        <v>11486</v>
      </c>
      <c r="V722" s="233"/>
      <c r="W722" s="223"/>
      <c r="X722" s="196">
        <f t="shared" si="67"/>
        <v>67</v>
      </c>
    </row>
    <row r="723" spans="1:24" s="221" customFormat="1">
      <c r="A723" s="221" t="s">
        <v>1091</v>
      </c>
      <c r="B723" s="195" t="s">
        <v>1090</v>
      </c>
      <c r="D723" s="221" t="s">
        <v>1089</v>
      </c>
      <c r="E723" s="226"/>
      <c r="F723" s="226" t="s">
        <v>968</v>
      </c>
      <c r="G723" s="220" t="str">
        <f t="shared" si="66"/>
        <v>25/9/2008</v>
      </c>
      <c r="H723" s="221">
        <v>25</v>
      </c>
      <c r="I723" s="221">
        <v>9</v>
      </c>
      <c r="J723" s="221">
        <v>2008</v>
      </c>
      <c r="L723" s="226"/>
      <c r="M723" s="221" t="s">
        <v>869</v>
      </c>
      <c r="N723" s="234">
        <v>4056.52</v>
      </c>
      <c r="O723" s="234"/>
      <c r="Q723" s="221">
        <v>10</v>
      </c>
      <c r="R723" s="112">
        <f t="shared" si="68"/>
        <v>33.795999999999999</v>
      </c>
      <c r="S723" s="223">
        <f t="shared" si="65"/>
        <v>2264.3319999999999</v>
      </c>
      <c r="T723" s="223">
        <f t="shared" si="69"/>
        <v>1792.1880000000001</v>
      </c>
      <c r="U723" s="221">
        <v>11486</v>
      </c>
      <c r="V723" s="233"/>
      <c r="W723" s="223"/>
      <c r="X723" s="196">
        <f t="shared" si="67"/>
        <v>67</v>
      </c>
    </row>
    <row r="724" spans="1:24" s="221" customFormat="1" ht="31.5">
      <c r="A724" s="221" t="s">
        <v>1088</v>
      </c>
      <c r="B724" s="195" t="s">
        <v>1087</v>
      </c>
      <c r="D724" s="221" t="s">
        <v>1086</v>
      </c>
      <c r="E724" s="226"/>
      <c r="F724" s="226" t="s">
        <v>968</v>
      </c>
      <c r="G724" s="220" t="str">
        <f t="shared" si="66"/>
        <v>25/9/2008</v>
      </c>
      <c r="H724" s="221">
        <v>25</v>
      </c>
      <c r="I724" s="221">
        <v>9</v>
      </c>
      <c r="J724" s="221">
        <v>2008</v>
      </c>
      <c r="L724" s="226"/>
      <c r="M724" s="221" t="s">
        <v>869</v>
      </c>
      <c r="N724" s="234">
        <v>2822.28</v>
      </c>
      <c r="O724" s="234"/>
      <c r="Q724" s="221">
        <v>10</v>
      </c>
      <c r="R724" s="112">
        <f t="shared" si="68"/>
        <v>23.510666666666669</v>
      </c>
      <c r="S724" s="223">
        <f t="shared" si="65"/>
        <v>1575.2146666666667</v>
      </c>
      <c r="T724" s="223">
        <f t="shared" si="69"/>
        <v>1247.0653333333335</v>
      </c>
      <c r="U724" s="221">
        <v>11486</v>
      </c>
      <c r="V724" s="233"/>
      <c r="W724" s="223"/>
      <c r="X724" s="196">
        <f t="shared" si="67"/>
        <v>67</v>
      </c>
    </row>
    <row r="725" spans="1:24" s="221" customFormat="1">
      <c r="A725" s="221" t="s">
        <v>1085</v>
      </c>
      <c r="B725" s="195" t="s">
        <v>1080</v>
      </c>
      <c r="D725" s="221" t="s">
        <v>1084</v>
      </c>
      <c r="E725" s="226"/>
      <c r="F725" s="226" t="s">
        <v>968</v>
      </c>
      <c r="G725" s="220" t="str">
        <f t="shared" si="66"/>
        <v>25/9/2008</v>
      </c>
      <c r="H725" s="221">
        <v>25</v>
      </c>
      <c r="I725" s="221">
        <v>9</v>
      </c>
      <c r="J725" s="221">
        <v>2008</v>
      </c>
      <c r="L725" s="226"/>
      <c r="M725" s="221" t="s">
        <v>869</v>
      </c>
      <c r="N725" s="235">
        <v>5744.32</v>
      </c>
      <c r="O725" s="235"/>
      <c r="Q725" s="221">
        <v>10</v>
      </c>
      <c r="R725" s="112">
        <f t="shared" si="68"/>
        <v>47.860999999999997</v>
      </c>
      <c r="S725" s="223">
        <f t="shared" si="65"/>
        <v>3206.6869999999999</v>
      </c>
      <c r="T725" s="223">
        <f t="shared" si="69"/>
        <v>2537.6329999999998</v>
      </c>
      <c r="U725" s="221">
        <v>11486</v>
      </c>
      <c r="V725" s="233"/>
      <c r="W725" s="223"/>
      <c r="X725" s="196">
        <f t="shared" si="67"/>
        <v>67</v>
      </c>
    </row>
    <row r="726" spans="1:24" s="221" customFormat="1">
      <c r="A726" s="221" t="s">
        <v>1083</v>
      </c>
      <c r="B726" s="195" t="s">
        <v>1080</v>
      </c>
      <c r="D726" s="221" t="s">
        <v>1079</v>
      </c>
      <c r="E726" s="226"/>
      <c r="F726" s="226" t="s">
        <v>968</v>
      </c>
      <c r="G726" s="220" t="str">
        <f t="shared" si="66"/>
        <v>25/9/2008</v>
      </c>
      <c r="H726" s="221">
        <v>25</v>
      </c>
      <c r="I726" s="221">
        <v>9</v>
      </c>
      <c r="J726" s="221">
        <v>2008</v>
      </c>
      <c r="L726" s="226"/>
      <c r="M726" s="221" t="s">
        <v>869</v>
      </c>
      <c r="N726" s="235">
        <v>5744.32</v>
      </c>
      <c r="O726" s="235"/>
      <c r="Q726" s="221">
        <v>10</v>
      </c>
      <c r="R726" s="112">
        <f t="shared" si="68"/>
        <v>47.860999999999997</v>
      </c>
      <c r="S726" s="223">
        <f t="shared" si="65"/>
        <v>3206.6869999999999</v>
      </c>
      <c r="T726" s="223">
        <f t="shared" si="69"/>
        <v>2537.6329999999998</v>
      </c>
      <c r="U726" s="221">
        <v>11486</v>
      </c>
      <c r="V726" s="233"/>
      <c r="W726" s="223"/>
      <c r="X726" s="196">
        <f t="shared" si="67"/>
        <v>67</v>
      </c>
    </row>
    <row r="727" spans="1:24" s="221" customFormat="1">
      <c r="A727" s="221" t="s">
        <v>1082</v>
      </c>
      <c r="B727" s="195" t="s">
        <v>1080</v>
      </c>
      <c r="D727" s="221" t="s">
        <v>1079</v>
      </c>
      <c r="E727" s="226"/>
      <c r="F727" s="226" t="s">
        <v>968</v>
      </c>
      <c r="G727" s="220" t="str">
        <f t="shared" si="66"/>
        <v>25/9/2008</v>
      </c>
      <c r="H727" s="221">
        <v>25</v>
      </c>
      <c r="I727" s="221">
        <v>9</v>
      </c>
      <c r="J727" s="221">
        <v>2008</v>
      </c>
      <c r="L727" s="226"/>
      <c r="M727" s="221" t="s">
        <v>869</v>
      </c>
      <c r="N727" s="235">
        <v>5744.32</v>
      </c>
      <c r="O727" s="235"/>
      <c r="Q727" s="221">
        <v>10</v>
      </c>
      <c r="R727" s="112">
        <f t="shared" si="68"/>
        <v>47.860999999999997</v>
      </c>
      <c r="S727" s="223">
        <f t="shared" si="65"/>
        <v>3206.6869999999999</v>
      </c>
      <c r="T727" s="223">
        <f t="shared" si="69"/>
        <v>2537.6329999999998</v>
      </c>
      <c r="U727" s="221">
        <v>11486</v>
      </c>
      <c r="V727" s="233"/>
      <c r="W727" s="223"/>
      <c r="X727" s="196">
        <f t="shared" si="67"/>
        <v>67</v>
      </c>
    </row>
    <row r="728" spans="1:24" s="221" customFormat="1">
      <c r="A728" s="221" t="s">
        <v>1081</v>
      </c>
      <c r="B728" s="195" t="s">
        <v>1080</v>
      </c>
      <c r="D728" s="221" t="s">
        <v>1079</v>
      </c>
      <c r="E728" s="226"/>
      <c r="F728" s="226" t="s">
        <v>968</v>
      </c>
      <c r="G728" s="220" t="str">
        <f t="shared" si="66"/>
        <v>25/9/2008</v>
      </c>
      <c r="H728" s="221">
        <v>25</v>
      </c>
      <c r="I728" s="221">
        <v>9</v>
      </c>
      <c r="J728" s="221">
        <v>2008</v>
      </c>
      <c r="L728" s="226"/>
      <c r="M728" s="221" t="s">
        <v>869</v>
      </c>
      <c r="N728" s="235">
        <v>5744.32</v>
      </c>
      <c r="O728" s="235"/>
      <c r="Q728" s="221">
        <v>10</v>
      </c>
      <c r="R728" s="112">
        <f t="shared" si="68"/>
        <v>47.860999999999997</v>
      </c>
      <c r="S728" s="223">
        <f t="shared" si="65"/>
        <v>3206.6869999999999</v>
      </c>
      <c r="T728" s="223">
        <f t="shared" si="69"/>
        <v>2537.6329999999998</v>
      </c>
      <c r="U728" s="221">
        <v>11486</v>
      </c>
      <c r="V728" s="233"/>
      <c r="W728" s="223"/>
      <c r="X728" s="196">
        <f t="shared" si="67"/>
        <v>67</v>
      </c>
    </row>
    <row r="729" spans="1:24" s="221" customFormat="1" ht="31.5">
      <c r="A729" s="221" t="s">
        <v>1078</v>
      </c>
      <c r="B729" s="195" t="s">
        <v>1077</v>
      </c>
      <c r="E729" s="226"/>
      <c r="F729" s="226" t="s">
        <v>968</v>
      </c>
      <c r="G729" s="220" t="str">
        <f t="shared" si="66"/>
        <v>25/9/2008</v>
      </c>
      <c r="H729" s="221">
        <v>25</v>
      </c>
      <c r="I729" s="221">
        <v>9</v>
      </c>
      <c r="J729" s="221">
        <v>2008</v>
      </c>
      <c r="L729" s="226"/>
      <c r="M729" s="221" t="s">
        <v>869</v>
      </c>
      <c r="N729" s="234">
        <v>13583.6</v>
      </c>
      <c r="O729" s="234"/>
      <c r="Q729" s="221">
        <v>10</v>
      </c>
      <c r="R729" s="112">
        <f t="shared" si="68"/>
        <v>113.18833333333333</v>
      </c>
      <c r="S729" s="223">
        <f t="shared" si="65"/>
        <v>7583.6183333333329</v>
      </c>
      <c r="T729" s="223">
        <f t="shared" si="69"/>
        <v>5999.9816666666675</v>
      </c>
      <c r="U729" s="221">
        <v>11486</v>
      </c>
      <c r="V729" s="233"/>
      <c r="W729" s="223"/>
      <c r="X729" s="196">
        <f t="shared" si="67"/>
        <v>67</v>
      </c>
    </row>
    <row r="730" spans="1:24" s="221" customFormat="1" ht="31.5">
      <c r="A730" s="221" t="s">
        <v>1076</v>
      </c>
      <c r="B730" s="195" t="s">
        <v>1071</v>
      </c>
      <c r="E730" s="226"/>
      <c r="F730" s="226" t="s">
        <v>968</v>
      </c>
      <c r="G730" s="220" t="str">
        <f t="shared" si="66"/>
        <v>25/9/2008</v>
      </c>
      <c r="H730" s="221">
        <v>25</v>
      </c>
      <c r="I730" s="221">
        <v>9</v>
      </c>
      <c r="J730" s="221">
        <v>2008</v>
      </c>
      <c r="L730" s="226"/>
      <c r="M730" s="221" t="s">
        <v>869</v>
      </c>
      <c r="N730" s="234">
        <v>3984.6</v>
      </c>
      <c r="O730" s="234"/>
      <c r="Q730" s="221">
        <v>10</v>
      </c>
      <c r="R730" s="112">
        <f t="shared" si="68"/>
        <v>33.196666666666665</v>
      </c>
      <c r="S730" s="223">
        <f t="shared" si="65"/>
        <v>2224.1766666666667</v>
      </c>
      <c r="T730" s="223">
        <f t="shared" si="69"/>
        <v>1760.4233333333332</v>
      </c>
      <c r="U730" s="221">
        <v>11486</v>
      </c>
      <c r="V730" s="233"/>
      <c r="W730" s="223"/>
      <c r="X730" s="196">
        <f t="shared" si="67"/>
        <v>67</v>
      </c>
    </row>
    <row r="731" spans="1:24" s="221" customFormat="1" ht="31.5">
      <c r="A731" s="221" t="s">
        <v>1075</v>
      </c>
      <c r="B731" s="195" t="s">
        <v>1071</v>
      </c>
      <c r="E731" s="226"/>
      <c r="F731" s="226" t="s">
        <v>968</v>
      </c>
      <c r="G731" s="220" t="str">
        <f t="shared" si="66"/>
        <v>25/9/2008</v>
      </c>
      <c r="H731" s="221">
        <v>25</v>
      </c>
      <c r="I731" s="221">
        <v>9</v>
      </c>
      <c r="J731" s="221">
        <v>2008</v>
      </c>
      <c r="L731" s="226"/>
      <c r="M731" s="221" t="s">
        <v>869</v>
      </c>
      <c r="N731" s="234">
        <v>3984.6</v>
      </c>
      <c r="O731" s="234"/>
      <c r="Q731" s="221">
        <v>10</v>
      </c>
      <c r="R731" s="112">
        <f t="shared" si="68"/>
        <v>33.196666666666665</v>
      </c>
      <c r="S731" s="223">
        <f t="shared" si="65"/>
        <v>2224.1766666666667</v>
      </c>
      <c r="T731" s="223">
        <f t="shared" si="69"/>
        <v>1760.4233333333332</v>
      </c>
      <c r="U731" s="221">
        <v>11486</v>
      </c>
      <c r="V731" s="233"/>
      <c r="W731" s="223"/>
      <c r="X731" s="196">
        <f t="shared" si="67"/>
        <v>67</v>
      </c>
    </row>
    <row r="732" spans="1:24" s="221" customFormat="1" ht="31.5">
      <c r="A732" s="221" t="s">
        <v>1074</v>
      </c>
      <c r="B732" s="195" t="s">
        <v>1071</v>
      </c>
      <c r="E732" s="226"/>
      <c r="F732" s="226" t="s">
        <v>968</v>
      </c>
      <c r="G732" s="220" t="str">
        <f t="shared" si="66"/>
        <v>25/9/2008</v>
      </c>
      <c r="H732" s="221">
        <v>25</v>
      </c>
      <c r="I732" s="221">
        <v>9</v>
      </c>
      <c r="J732" s="221">
        <v>2008</v>
      </c>
      <c r="L732" s="226"/>
      <c r="M732" s="221" t="s">
        <v>869</v>
      </c>
      <c r="N732" s="234">
        <v>3984.6</v>
      </c>
      <c r="O732" s="234"/>
      <c r="Q732" s="221">
        <v>10</v>
      </c>
      <c r="R732" s="112">
        <f t="shared" si="68"/>
        <v>33.196666666666665</v>
      </c>
      <c r="S732" s="223">
        <f t="shared" si="65"/>
        <v>2224.1766666666667</v>
      </c>
      <c r="T732" s="223">
        <f t="shared" si="69"/>
        <v>1760.4233333333332</v>
      </c>
      <c r="U732" s="221">
        <v>11486</v>
      </c>
      <c r="V732" s="233"/>
      <c r="W732" s="223"/>
      <c r="X732" s="196">
        <f t="shared" si="67"/>
        <v>67</v>
      </c>
    </row>
    <row r="733" spans="1:24" s="221" customFormat="1" ht="31.5">
      <c r="A733" s="221" t="s">
        <v>1073</v>
      </c>
      <c r="B733" s="195" t="s">
        <v>1071</v>
      </c>
      <c r="E733" s="226"/>
      <c r="F733" s="226" t="s">
        <v>968</v>
      </c>
      <c r="G733" s="220" t="str">
        <f t="shared" si="66"/>
        <v>25/9/2008</v>
      </c>
      <c r="H733" s="221">
        <v>25</v>
      </c>
      <c r="I733" s="221">
        <v>9</v>
      </c>
      <c r="J733" s="221">
        <v>2008</v>
      </c>
      <c r="L733" s="226"/>
      <c r="M733" s="221" t="s">
        <v>869</v>
      </c>
      <c r="N733" s="234">
        <v>3984.6</v>
      </c>
      <c r="O733" s="234"/>
      <c r="Q733" s="221">
        <v>10</v>
      </c>
      <c r="R733" s="112">
        <f t="shared" si="68"/>
        <v>33.196666666666665</v>
      </c>
      <c r="S733" s="223">
        <f t="shared" si="65"/>
        <v>2224.1766666666667</v>
      </c>
      <c r="T733" s="223">
        <f t="shared" si="69"/>
        <v>1760.4233333333332</v>
      </c>
      <c r="U733" s="221">
        <v>11486</v>
      </c>
      <c r="V733" s="233"/>
      <c r="W733" s="223"/>
      <c r="X733" s="196">
        <f t="shared" si="67"/>
        <v>67</v>
      </c>
    </row>
    <row r="734" spans="1:24" s="221" customFormat="1" ht="31.5">
      <c r="A734" s="221" t="s">
        <v>1072</v>
      </c>
      <c r="B734" s="195" t="s">
        <v>1071</v>
      </c>
      <c r="E734" s="226"/>
      <c r="F734" s="226" t="s">
        <v>968</v>
      </c>
      <c r="G734" s="220" t="str">
        <f t="shared" si="66"/>
        <v>25/9/2008</v>
      </c>
      <c r="H734" s="221">
        <v>25</v>
      </c>
      <c r="I734" s="221">
        <v>9</v>
      </c>
      <c r="J734" s="221">
        <v>2008</v>
      </c>
      <c r="L734" s="226"/>
      <c r="M734" s="221" t="s">
        <v>869</v>
      </c>
      <c r="N734" s="234">
        <v>3984.6</v>
      </c>
      <c r="O734" s="234"/>
      <c r="Q734" s="221">
        <v>10</v>
      </c>
      <c r="R734" s="112">
        <f t="shared" si="68"/>
        <v>33.196666666666665</v>
      </c>
      <c r="S734" s="223">
        <f t="shared" si="65"/>
        <v>2224.1766666666667</v>
      </c>
      <c r="T734" s="223">
        <f t="shared" si="69"/>
        <v>1760.4233333333332</v>
      </c>
      <c r="U734" s="221">
        <v>11486</v>
      </c>
      <c r="V734" s="233"/>
      <c r="W734" s="223"/>
      <c r="X734" s="196">
        <f t="shared" si="67"/>
        <v>67</v>
      </c>
    </row>
    <row r="735" spans="1:24" s="221" customFormat="1">
      <c r="A735" s="221" t="s">
        <v>1070</v>
      </c>
      <c r="B735" s="195" t="s">
        <v>1069</v>
      </c>
      <c r="C735" s="221" t="s">
        <v>1068</v>
      </c>
      <c r="E735" s="226"/>
      <c r="F735" s="226" t="s">
        <v>1067</v>
      </c>
      <c r="G735" s="220" t="str">
        <f t="shared" si="66"/>
        <v>25/9/2008</v>
      </c>
      <c r="H735" s="221">
        <v>25</v>
      </c>
      <c r="I735" s="221">
        <v>9</v>
      </c>
      <c r="J735" s="221">
        <v>2008</v>
      </c>
      <c r="L735" s="226"/>
      <c r="M735" s="221" t="s">
        <v>869</v>
      </c>
      <c r="N735" s="234">
        <v>11650</v>
      </c>
      <c r="O735" s="234"/>
      <c r="Q735" s="221">
        <v>10</v>
      </c>
      <c r="R735" s="112">
        <f t="shared" si="68"/>
        <v>97.075000000000003</v>
      </c>
      <c r="S735" s="223">
        <f t="shared" si="65"/>
        <v>6504.0250000000005</v>
      </c>
      <c r="T735" s="223">
        <f t="shared" si="69"/>
        <v>5145.9749999999995</v>
      </c>
      <c r="U735" s="221">
        <v>11489</v>
      </c>
      <c r="V735" s="233"/>
      <c r="W735" s="223"/>
      <c r="X735" s="196">
        <f t="shared" si="67"/>
        <v>67</v>
      </c>
    </row>
    <row r="736" spans="1:24" s="221" customFormat="1" ht="31.5">
      <c r="A736" s="221" t="s">
        <v>1066</v>
      </c>
      <c r="B736" s="195" t="s">
        <v>1065</v>
      </c>
      <c r="E736" s="226"/>
      <c r="F736" s="226" t="s">
        <v>1054</v>
      </c>
      <c r="G736" s="220" t="str">
        <f t="shared" si="66"/>
        <v>25/9/2008</v>
      </c>
      <c r="H736" s="221">
        <v>25</v>
      </c>
      <c r="I736" s="221">
        <v>9</v>
      </c>
      <c r="J736" s="221">
        <v>2008</v>
      </c>
      <c r="K736" s="221" t="s">
        <v>1014</v>
      </c>
      <c r="L736" s="226"/>
      <c r="M736" s="221" t="s">
        <v>869</v>
      </c>
      <c r="N736" s="234">
        <v>6526.86</v>
      </c>
      <c r="O736" s="234"/>
      <c r="Q736" s="221">
        <v>10</v>
      </c>
      <c r="R736" s="112">
        <f t="shared" si="68"/>
        <v>54.38216666666667</v>
      </c>
      <c r="S736" s="223">
        <f t="shared" si="65"/>
        <v>3643.6051666666667</v>
      </c>
      <c r="T736" s="223">
        <f t="shared" si="69"/>
        <v>2883.254833333333</v>
      </c>
      <c r="U736" s="221">
        <v>11496</v>
      </c>
      <c r="V736" s="233"/>
      <c r="W736" s="223"/>
      <c r="X736" s="196">
        <f t="shared" si="67"/>
        <v>67</v>
      </c>
    </row>
    <row r="737" spans="1:24" s="221" customFormat="1" ht="31.5">
      <c r="A737" s="221" t="s">
        <v>1064</v>
      </c>
      <c r="B737" s="195" t="s">
        <v>1063</v>
      </c>
      <c r="E737" s="226"/>
      <c r="F737" s="226" t="s">
        <v>1054</v>
      </c>
      <c r="G737" s="220" t="str">
        <f t="shared" si="66"/>
        <v>25/9/2008</v>
      </c>
      <c r="H737" s="221">
        <v>25</v>
      </c>
      <c r="I737" s="221">
        <v>9</v>
      </c>
      <c r="J737" s="221">
        <v>2008</v>
      </c>
      <c r="K737" s="221" t="s">
        <v>1014</v>
      </c>
      <c r="L737" s="226"/>
      <c r="M737" s="221" t="s">
        <v>869</v>
      </c>
      <c r="N737" s="229">
        <v>6526.86</v>
      </c>
      <c r="O737" s="229"/>
      <c r="Q737" s="221">
        <v>10</v>
      </c>
      <c r="R737" s="112">
        <f t="shared" si="68"/>
        <v>54.38216666666667</v>
      </c>
      <c r="S737" s="223">
        <f t="shared" si="65"/>
        <v>3643.6051666666667</v>
      </c>
      <c r="T737" s="223">
        <f t="shared" si="69"/>
        <v>2883.254833333333</v>
      </c>
      <c r="U737" s="221">
        <v>11496</v>
      </c>
      <c r="V737" s="233"/>
      <c r="W737" s="223"/>
      <c r="X737" s="196">
        <f t="shared" si="67"/>
        <v>67</v>
      </c>
    </row>
    <row r="738" spans="1:24" s="221" customFormat="1" ht="31.5">
      <c r="A738" s="221" t="s">
        <v>1062</v>
      </c>
      <c r="B738" s="195" t="s">
        <v>1061</v>
      </c>
      <c r="E738" s="226"/>
      <c r="F738" s="226" t="s">
        <v>1054</v>
      </c>
      <c r="G738" s="220" t="str">
        <f t="shared" si="66"/>
        <v>25/9/2008</v>
      </c>
      <c r="H738" s="221">
        <v>25</v>
      </c>
      <c r="I738" s="221">
        <v>9</v>
      </c>
      <c r="J738" s="221">
        <v>2008</v>
      </c>
      <c r="K738" s="221" t="s">
        <v>1014</v>
      </c>
      <c r="L738" s="226"/>
      <c r="M738" s="221" t="s">
        <v>869</v>
      </c>
      <c r="N738" s="229">
        <v>6526.86</v>
      </c>
      <c r="O738" s="229"/>
      <c r="Q738" s="221">
        <v>10</v>
      </c>
      <c r="R738" s="112">
        <f t="shared" si="68"/>
        <v>54.38216666666667</v>
      </c>
      <c r="S738" s="223">
        <f t="shared" si="65"/>
        <v>3643.6051666666667</v>
      </c>
      <c r="T738" s="223">
        <f t="shared" si="69"/>
        <v>2883.254833333333</v>
      </c>
      <c r="U738" s="221">
        <v>11496</v>
      </c>
      <c r="V738" s="233"/>
      <c r="W738" s="223"/>
      <c r="X738" s="196">
        <f t="shared" si="67"/>
        <v>67</v>
      </c>
    </row>
    <row r="739" spans="1:24" s="221" customFormat="1" ht="31.5">
      <c r="A739" s="221" t="s">
        <v>1060</v>
      </c>
      <c r="B739" s="195" t="s">
        <v>1059</v>
      </c>
      <c r="E739" s="226"/>
      <c r="F739" s="226" t="s">
        <v>1054</v>
      </c>
      <c r="G739" s="220" t="str">
        <f t="shared" si="66"/>
        <v>25/9/2008</v>
      </c>
      <c r="H739" s="221">
        <v>25</v>
      </c>
      <c r="I739" s="221">
        <v>9</v>
      </c>
      <c r="J739" s="221">
        <v>2008</v>
      </c>
      <c r="K739" s="221" t="s">
        <v>1014</v>
      </c>
      <c r="L739" s="226"/>
      <c r="M739" s="221" t="s">
        <v>869</v>
      </c>
      <c r="N739" s="229">
        <v>6526.86</v>
      </c>
      <c r="O739" s="229"/>
      <c r="Q739" s="221">
        <v>10</v>
      </c>
      <c r="R739" s="112">
        <f t="shared" si="68"/>
        <v>54.38216666666667</v>
      </c>
      <c r="S739" s="223">
        <f t="shared" si="65"/>
        <v>3643.6051666666667</v>
      </c>
      <c r="T739" s="223">
        <f t="shared" si="69"/>
        <v>2883.254833333333</v>
      </c>
      <c r="U739" s="221">
        <v>11496</v>
      </c>
      <c r="V739" s="233"/>
      <c r="W739" s="223"/>
      <c r="X739" s="196">
        <f t="shared" si="67"/>
        <v>67</v>
      </c>
    </row>
    <row r="740" spans="1:24" s="221" customFormat="1" ht="31.5">
      <c r="A740" s="221" t="s">
        <v>1058</v>
      </c>
      <c r="B740" s="195" t="s">
        <v>1057</v>
      </c>
      <c r="E740" s="226"/>
      <c r="F740" s="226" t="s">
        <v>1054</v>
      </c>
      <c r="G740" s="220" t="str">
        <f t="shared" si="66"/>
        <v>25/9/2008</v>
      </c>
      <c r="H740" s="221">
        <v>25</v>
      </c>
      <c r="I740" s="221">
        <v>9</v>
      </c>
      <c r="J740" s="221">
        <v>2008</v>
      </c>
      <c r="K740" s="221" t="s">
        <v>1014</v>
      </c>
      <c r="L740" s="226"/>
      <c r="M740" s="221" t="s">
        <v>869</v>
      </c>
      <c r="N740" s="229">
        <v>6526.86</v>
      </c>
      <c r="O740" s="229"/>
      <c r="Q740" s="221">
        <v>10</v>
      </c>
      <c r="R740" s="112">
        <f t="shared" si="68"/>
        <v>54.38216666666667</v>
      </c>
      <c r="S740" s="223">
        <f t="shared" si="65"/>
        <v>3643.6051666666667</v>
      </c>
      <c r="T740" s="223">
        <f t="shared" si="69"/>
        <v>2883.254833333333</v>
      </c>
      <c r="U740" s="221">
        <v>11496</v>
      </c>
      <c r="V740" s="233"/>
      <c r="W740" s="223"/>
      <c r="X740" s="196">
        <f t="shared" si="67"/>
        <v>67</v>
      </c>
    </row>
    <row r="741" spans="1:24" s="221" customFormat="1" ht="31.5">
      <c r="A741" s="221" t="s">
        <v>1056</v>
      </c>
      <c r="B741" s="195" t="s">
        <v>1055</v>
      </c>
      <c r="E741" s="226"/>
      <c r="F741" s="226" t="s">
        <v>1054</v>
      </c>
      <c r="G741" s="220" t="str">
        <f t="shared" si="66"/>
        <v>25/9/2008</v>
      </c>
      <c r="H741" s="221">
        <v>25</v>
      </c>
      <c r="I741" s="221">
        <v>9</v>
      </c>
      <c r="J741" s="221">
        <v>2008</v>
      </c>
      <c r="K741" s="221" t="s">
        <v>1014</v>
      </c>
      <c r="L741" s="226"/>
      <c r="M741" s="221" t="s">
        <v>869</v>
      </c>
      <c r="N741" s="229">
        <v>6526.86</v>
      </c>
      <c r="O741" s="229"/>
      <c r="Q741" s="221">
        <v>10</v>
      </c>
      <c r="R741" s="112">
        <f t="shared" si="68"/>
        <v>54.38216666666667</v>
      </c>
      <c r="S741" s="223">
        <f t="shared" si="65"/>
        <v>3643.6051666666667</v>
      </c>
      <c r="T741" s="223">
        <f t="shared" si="69"/>
        <v>2883.254833333333</v>
      </c>
      <c r="U741" s="221">
        <v>11496</v>
      </c>
      <c r="V741" s="233"/>
      <c r="W741" s="223"/>
      <c r="X741" s="196">
        <f t="shared" si="67"/>
        <v>67</v>
      </c>
    </row>
    <row r="742" spans="1:24" s="221" customFormat="1" ht="31.5">
      <c r="A742" s="221" t="s">
        <v>1053</v>
      </c>
      <c r="B742" s="195" t="s">
        <v>1052</v>
      </c>
      <c r="E742" s="226"/>
      <c r="F742" s="226" t="s">
        <v>1051</v>
      </c>
      <c r="G742" s="220" t="str">
        <f t="shared" si="66"/>
        <v>10/10/2008</v>
      </c>
      <c r="H742" s="221">
        <v>10</v>
      </c>
      <c r="I742" s="221">
        <v>10</v>
      </c>
      <c r="J742" s="221">
        <v>2008</v>
      </c>
      <c r="K742" s="221" t="s">
        <v>37</v>
      </c>
      <c r="L742" s="226"/>
      <c r="M742" s="221" t="s">
        <v>1050</v>
      </c>
      <c r="N742" s="224">
        <v>631658.68999999994</v>
      </c>
      <c r="O742" s="224"/>
      <c r="Q742" s="221">
        <v>10</v>
      </c>
      <c r="R742" s="112">
        <f t="shared" si="68"/>
        <v>5263.8140833333327</v>
      </c>
      <c r="S742" s="223">
        <f t="shared" si="65"/>
        <v>347411.72949999996</v>
      </c>
      <c r="T742" s="223">
        <f t="shared" si="69"/>
        <v>284246.96049999999</v>
      </c>
      <c r="U742" s="221">
        <v>11642</v>
      </c>
      <c r="V742" s="233"/>
      <c r="W742" s="223"/>
      <c r="X742" s="196">
        <f t="shared" si="67"/>
        <v>66</v>
      </c>
    </row>
    <row r="743" spans="1:24" s="221" customFormat="1">
      <c r="A743" s="221" t="s">
        <v>1049</v>
      </c>
      <c r="B743" s="195" t="s">
        <v>1048</v>
      </c>
      <c r="E743" s="226"/>
      <c r="F743" s="226" t="s">
        <v>1021</v>
      </c>
      <c r="G743" s="220" t="str">
        <f t="shared" si="66"/>
        <v>22/10/2008</v>
      </c>
      <c r="H743" s="221">
        <v>22</v>
      </c>
      <c r="I743" s="221">
        <v>10</v>
      </c>
      <c r="J743" s="221">
        <v>2008</v>
      </c>
      <c r="L743" s="226"/>
      <c r="M743" s="221" t="s">
        <v>869</v>
      </c>
      <c r="N743" s="224">
        <v>36749.99</v>
      </c>
      <c r="O743" s="224"/>
      <c r="Q743" s="221">
        <v>10</v>
      </c>
      <c r="R743" s="112">
        <f t="shared" si="68"/>
        <v>306.24158333333332</v>
      </c>
      <c r="S743" s="223">
        <f t="shared" si="65"/>
        <v>20211.944499999998</v>
      </c>
      <c r="T743" s="223">
        <f t="shared" si="69"/>
        <v>16538.0455</v>
      </c>
      <c r="U743" s="221">
        <v>11645</v>
      </c>
      <c r="V743" s="233"/>
      <c r="W743" s="223"/>
      <c r="X743" s="196">
        <f t="shared" si="67"/>
        <v>66</v>
      </c>
    </row>
    <row r="744" spans="1:24" s="221" customFormat="1">
      <c r="A744" s="221" t="s">
        <v>1047</v>
      </c>
      <c r="B744" s="195" t="s">
        <v>1046</v>
      </c>
      <c r="E744" s="226"/>
      <c r="F744" s="226" t="s">
        <v>1021</v>
      </c>
      <c r="G744" s="220" t="str">
        <f t="shared" si="66"/>
        <v>22/10/2008</v>
      </c>
      <c r="H744" s="221">
        <v>22</v>
      </c>
      <c r="I744" s="221">
        <v>10</v>
      </c>
      <c r="J744" s="221">
        <v>2008</v>
      </c>
      <c r="L744" s="226"/>
      <c r="M744" s="221" t="s">
        <v>869</v>
      </c>
      <c r="N744" s="224">
        <v>860</v>
      </c>
      <c r="O744" s="224"/>
      <c r="Q744" s="221">
        <v>10</v>
      </c>
      <c r="R744" s="112">
        <f t="shared" si="68"/>
        <v>7.1583333333333341</v>
      </c>
      <c r="S744" s="223">
        <f t="shared" si="65"/>
        <v>472.45000000000005</v>
      </c>
      <c r="T744" s="223">
        <f t="shared" si="69"/>
        <v>387.54999999999995</v>
      </c>
      <c r="U744" s="221">
        <v>11645</v>
      </c>
      <c r="V744" s="233"/>
      <c r="W744" s="223"/>
      <c r="X744" s="196">
        <f t="shared" si="67"/>
        <v>66</v>
      </c>
    </row>
    <row r="745" spans="1:24" s="221" customFormat="1">
      <c r="A745" s="221" t="s">
        <v>1045</v>
      </c>
      <c r="B745" s="195" t="s">
        <v>1044</v>
      </c>
      <c r="E745" s="226"/>
      <c r="F745" s="226" t="s">
        <v>1021</v>
      </c>
      <c r="G745" s="220" t="str">
        <f t="shared" si="66"/>
        <v>22/10/2008</v>
      </c>
      <c r="H745" s="221">
        <v>22</v>
      </c>
      <c r="I745" s="221">
        <v>10</v>
      </c>
      <c r="J745" s="221">
        <v>2008</v>
      </c>
      <c r="L745" s="226"/>
      <c r="M745" s="221" t="s">
        <v>869</v>
      </c>
      <c r="N745" s="224">
        <v>576</v>
      </c>
      <c r="O745" s="224"/>
      <c r="Q745" s="221">
        <v>10</v>
      </c>
      <c r="R745" s="112">
        <f t="shared" si="68"/>
        <v>4.791666666666667</v>
      </c>
      <c r="S745" s="223">
        <f t="shared" si="65"/>
        <v>316.25</v>
      </c>
      <c r="T745" s="223">
        <f t="shared" si="69"/>
        <v>259.75</v>
      </c>
      <c r="U745" s="221">
        <v>11645</v>
      </c>
      <c r="V745" s="233"/>
      <c r="W745" s="223"/>
      <c r="X745" s="196">
        <f t="shared" si="67"/>
        <v>66</v>
      </c>
    </row>
    <row r="746" spans="1:24" s="221" customFormat="1">
      <c r="A746" s="221" t="s">
        <v>1043</v>
      </c>
      <c r="B746" s="195" t="s">
        <v>1042</v>
      </c>
      <c r="C746" s="221" t="s">
        <v>1027</v>
      </c>
      <c r="D746" s="221" t="s">
        <v>1026</v>
      </c>
      <c r="E746" s="226"/>
      <c r="F746" s="226" t="s">
        <v>1021</v>
      </c>
      <c r="G746" s="220" t="str">
        <f t="shared" si="66"/>
        <v>22/10/2008</v>
      </c>
      <c r="H746" s="221">
        <v>22</v>
      </c>
      <c r="I746" s="221">
        <v>10</v>
      </c>
      <c r="J746" s="221">
        <v>2008</v>
      </c>
      <c r="L746" s="226"/>
      <c r="M746" s="221" t="s">
        <v>869</v>
      </c>
      <c r="N746" s="224">
        <v>49000</v>
      </c>
      <c r="O746" s="224"/>
      <c r="Q746" s="221">
        <v>10</v>
      </c>
      <c r="R746" s="112">
        <f t="shared" si="68"/>
        <v>408.32499999999999</v>
      </c>
      <c r="S746" s="223">
        <f t="shared" si="65"/>
        <v>26949.45</v>
      </c>
      <c r="T746" s="223">
        <f t="shared" si="69"/>
        <v>22050.55</v>
      </c>
      <c r="U746" s="221">
        <v>11645</v>
      </c>
      <c r="V746" s="233"/>
      <c r="W746" s="223"/>
      <c r="X746" s="196">
        <f t="shared" si="67"/>
        <v>66</v>
      </c>
    </row>
    <row r="747" spans="1:24" s="221" customFormat="1">
      <c r="A747" s="221" t="s">
        <v>1041</v>
      </c>
      <c r="B747" s="195" t="s">
        <v>1040</v>
      </c>
      <c r="E747" s="226"/>
      <c r="F747" s="226" t="s">
        <v>1021</v>
      </c>
      <c r="G747" s="220" t="str">
        <f t="shared" si="66"/>
        <v>22/10/2008</v>
      </c>
      <c r="H747" s="221">
        <v>22</v>
      </c>
      <c r="I747" s="221">
        <v>10</v>
      </c>
      <c r="J747" s="221">
        <v>2008</v>
      </c>
      <c r="L747" s="226"/>
      <c r="M747" s="221" t="s">
        <v>869</v>
      </c>
      <c r="N747" s="224">
        <v>1980</v>
      </c>
      <c r="O747" s="224"/>
      <c r="Q747" s="221">
        <v>10</v>
      </c>
      <c r="R747" s="112">
        <f t="shared" si="68"/>
        <v>16.491666666666667</v>
      </c>
      <c r="S747" s="223">
        <f t="shared" si="65"/>
        <v>1088.45</v>
      </c>
      <c r="T747" s="223">
        <f t="shared" si="69"/>
        <v>891.55</v>
      </c>
      <c r="U747" s="221">
        <v>11645</v>
      </c>
      <c r="V747" s="233"/>
      <c r="W747" s="223"/>
      <c r="X747" s="196">
        <f t="shared" si="67"/>
        <v>66</v>
      </c>
    </row>
    <row r="748" spans="1:24" s="221" customFormat="1">
      <c r="A748" s="221" t="s">
        <v>1039</v>
      </c>
      <c r="B748" s="195" t="s">
        <v>1037</v>
      </c>
      <c r="E748" s="226"/>
      <c r="F748" s="226" t="s">
        <v>1021</v>
      </c>
      <c r="G748" s="220" t="str">
        <f t="shared" si="66"/>
        <v>22/10/2008</v>
      </c>
      <c r="H748" s="221">
        <v>22</v>
      </c>
      <c r="I748" s="221">
        <v>10</v>
      </c>
      <c r="J748" s="221">
        <v>2008</v>
      </c>
      <c r="L748" s="226"/>
      <c r="M748" s="221" t="s">
        <v>869</v>
      </c>
      <c r="N748" s="224">
        <v>400.03</v>
      </c>
      <c r="O748" s="224"/>
      <c r="Q748" s="221">
        <v>10</v>
      </c>
      <c r="R748" s="112">
        <f t="shared" si="68"/>
        <v>3.32525</v>
      </c>
      <c r="S748" s="223">
        <f t="shared" si="65"/>
        <v>219.4665</v>
      </c>
      <c r="T748" s="223">
        <f t="shared" si="69"/>
        <v>180.56349999999998</v>
      </c>
      <c r="U748" s="221">
        <v>11645</v>
      </c>
      <c r="V748" s="233"/>
      <c r="W748" s="223"/>
      <c r="X748" s="196">
        <f t="shared" si="67"/>
        <v>66</v>
      </c>
    </row>
    <row r="749" spans="1:24" s="221" customFormat="1">
      <c r="A749" s="221" t="s">
        <v>1038</v>
      </c>
      <c r="B749" s="195" t="s">
        <v>1037</v>
      </c>
      <c r="E749" s="226"/>
      <c r="F749" s="226" t="s">
        <v>1021</v>
      </c>
      <c r="G749" s="220" t="str">
        <f t="shared" si="66"/>
        <v>22/10/2008</v>
      </c>
      <c r="H749" s="221">
        <v>22</v>
      </c>
      <c r="I749" s="221">
        <v>10</v>
      </c>
      <c r="J749" s="221">
        <v>2008</v>
      </c>
      <c r="L749" s="226"/>
      <c r="M749" s="221" t="s">
        <v>869</v>
      </c>
      <c r="N749" s="224">
        <v>400.03</v>
      </c>
      <c r="O749" s="224"/>
      <c r="Q749" s="221">
        <v>10</v>
      </c>
      <c r="R749" s="112">
        <f t="shared" si="68"/>
        <v>3.32525</v>
      </c>
      <c r="S749" s="223">
        <f t="shared" si="65"/>
        <v>219.4665</v>
      </c>
      <c r="T749" s="223">
        <f t="shared" si="69"/>
        <v>180.56349999999998</v>
      </c>
      <c r="U749" s="221">
        <v>11645</v>
      </c>
      <c r="V749" s="233"/>
      <c r="W749" s="223"/>
      <c r="X749" s="196">
        <f t="shared" si="67"/>
        <v>66</v>
      </c>
    </row>
    <row r="750" spans="1:24" s="221" customFormat="1" ht="15" customHeight="1">
      <c r="A750" s="221" t="s">
        <v>1036</v>
      </c>
      <c r="B750" s="195" t="s">
        <v>1034</v>
      </c>
      <c r="E750" s="226"/>
      <c r="F750" s="226" t="s">
        <v>1021</v>
      </c>
      <c r="G750" s="220" t="str">
        <f t="shared" si="66"/>
        <v>22/10/2008</v>
      </c>
      <c r="H750" s="221">
        <v>22</v>
      </c>
      <c r="I750" s="221">
        <v>10</v>
      </c>
      <c r="J750" s="221">
        <v>2008</v>
      </c>
      <c r="L750" s="226"/>
      <c r="M750" s="221" t="s">
        <v>869</v>
      </c>
      <c r="N750" s="224">
        <v>280</v>
      </c>
      <c r="O750" s="224"/>
      <c r="Q750" s="221">
        <v>10</v>
      </c>
      <c r="R750" s="112">
        <f t="shared" si="68"/>
        <v>2.3249999999999997</v>
      </c>
      <c r="S750" s="223">
        <f t="shared" si="65"/>
        <v>153.44999999999999</v>
      </c>
      <c r="T750" s="223">
        <f t="shared" si="69"/>
        <v>126.55000000000001</v>
      </c>
      <c r="U750" s="221">
        <v>11645</v>
      </c>
      <c r="V750" s="233"/>
      <c r="W750" s="223"/>
      <c r="X750" s="196">
        <f t="shared" si="67"/>
        <v>66</v>
      </c>
    </row>
    <row r="751" spans="1:24" s="221" customFormat="1">
      <c r="A751" s="221" t="s">
        <v>1035</v>
      </c>
      <c r="B751" s="195" t="s">
        <v>1034</v>
      </c>
      <c r="E751" s="226"/>
      <c r="F751" s="226" t="s">
        <v>1021</v>
      </c>
      <c r="G751" s="220" t="str">
        <f t="shared" si="66"/>
        <v>22/10/2008</v>
      </c>
      <c r="H751" s="221">
        <v>22</v>
      </c>
      <c r="I751" s="221">
        <v>10</v>
      </c>
      <c r="J751" s="221">
        <v>2008</v>
      </c>
      <c r="L751" s="226"/>
      <c r="M751" s="221" t="s">
        <v>869</v>
      </c>
      <c r="N751" s="224">
        <v>280</v>
      </c>
      <c r="O751" s="224"/>
      <c r="Q751" s="221">
        <v>10</v>
      </c>
      <c r="R751" s="112">
        <f t="shared" si="68"/>
        <v>2.3249999999999997</v>
      </c>
      <c r="S751" s="223">
        <f t="shared" si="65"/>
        <v>153.44999999999999</v>
      </c>
      <c r="T751" s="223">
        <f t="shared" si="69"/>
        <v>126.55000000000001</v>
      </c>
      <c r="U751" s="221">
        <v>11645</v>
      </c>
      <c r="V751" s="233"/>
      <c r="W751" s="223"/>
      <c r="X751" s="196">
        <f t="shared" si="67"/>
        <v>66</v>
      </c>
    </row>
    <row r="752" spans="1:24" s="221" customFormat="1">
      <c r="A752" s="221" t="s">
        <v>1033</v>
      </c>
      <c r="B752" s="195" t="s">
        <v>1032</v>
      </c>
      <c r="E752" s="226"/>
      <c r="F752" s="226" t="s">
        <v>1021</v>
      </c>
      <c r="G752" s="220" t="str">
        <f t="shared" si="66"/>
        <v>22/10/2008</v>
      </c>
      <c r="H752" s="221">
        <v>22</v>
      </c>
      <c r="I752" s="221">
        <v>10</v>
      </c>
      <c r="J752" s="221">
        <v>2008</v>
      </c>
      <c r="L752" s="226"/>
      <c r="M752" s="221" t="s">
        <v>869</v>
      </c>
      <c r="N752" s="224">
        <v>4680</v>
      </c>
      <c r="O752" s="224"/>
      <c r="Q752" s="221">
        <v>10</v>
      </c>
      <c r="R752" s="112">
        <f t="shared" si="68"/>
        <v>38.991666666666667</v>
      </c>
      <c r="S752" s="223">
        <f t="shared" si="65"/>
        <v>2573.4499999999998</v>
      </c>
      <c r="T752" s="223">
        <f t="shared" si="69"/>
        <v>2106.5500000000002</v>
      </c>
      <c r="U752" s="221">
        <v>11645</v>
      </c>
      <c r="V752" s="233"/>
      <c r="W752" s="223"/>
      <c r="X752" s="196">
        <f t="shared" si="67"/>
        <v>66</v>
      </c>
    </row>
    <row r="753" spans="1:24" s="221" customFormat="1">
      <c r="A753" s="221" t="s">
        <v>1031</v>
      </c>
      <c r="B753" s="195" t="s">
        <v>1030</v>
      </c>
      <c r="E753" s="226"/>
      <c r="F753" s="226" t="s">
        <v>1021</v>
      </c>
      <c r="G753" s="220" t="str">
        <f t="shared" si="66"/>
        <v>22/10/2008</v>
      </c>
      <c r="H753" s="221">
        <v>22</v>
      </c>
      <c r="I753" s="221">
        <v>10</v>
      </c>
      <c r="J753" s="221">
        <v>2008</v>
      </c>
      <c r="L753" s="226"/>
      <c r="M753" s="221" t="s">
        <v>869</v>
      </c>
      <c r="N753" s="224">
        <v>120</v>
      </c>
      <c r="O753" s="224"/>
      <c r="Q753" s="221">
        <v>10</v>
      </c>
      <c r="R753" s="112">
        <f t="shared" si="68"/>
        <v>0.9916666666666667</v>
      </c>
      <c r="S753" s="223">
        <f t="shared" ref="S753:S816" si="70">X753*R753</f>
        <v>65.45</v>
      </c>
      <c r="T753" s="223">
        <f t="shared" si="69"/>
        <v>54.55</v>
      </c>
      <c r="U753" s="221">
        <v>11645</v>
      </c>
      <c r="V753" s="233"/>
      <c r="W753" s="223"/>
      <c r="X753" s="196">
        <f t="shared" si="67"/>
        <v>66</v>
      </c>
    </row>
    <row r="754" spans="1:24" s="221" customFormat="1">
      <c r="A754" s="221" t="s">
        <v>1029</v>
      </c>
      <c r="B754" s="195" t="s">
        <v>1028</v>
      </c>
      <c r="C754" s="221" t="s">
        <v>1027</v>
      </c>
      <c r="D754" s="221" t="s">
        <v>1026</v>
      </c>
      <c r="E754" s="226"/>
      <c r="F754" s="226" t="s">
        <v>1021</v>
      </c>
      <c r="G754" s="220" t="str">
        <f t="shared" si="66"/>
        <v>22/10/2008</v>
      </c>
      <c r="H754" s="221">
        <v>22</v>
      </c>
      <c r="I754" s="221">
        <v>10</v>
      </c>
      <c r="J754" s="221">
        <v>2008</v>
      </c>
      <c r="L754" s="226"/>
      <c r="M754" s="221" t="s">
        <v>869</v>
      </c>
      <c r="N754" s="224">
        <v>46500</v>
      </c>
      <c r="O754" s="224"/>
      <c r="Q754" s="221">
        <v>10</v>
      </c>
      <c r="R754" s="112">
        <f t="shared" si="68"/>
        <v>387.49166666666662</v>
      </c>
      <c r="S754" s="223">
        <f t="shared" si="70"/>
        <v>25574.449999999997</v>
      </c>
      <c r="T754" s="223">
        <f t="shared" si="69"/>
        <v>20925.550000000003</v>
      </c>
      <c r="U754" s="221">
        <v>11645</v>
      </c>
      <c r="V754" s="233"/>
      <c r="W754" s="223"/>
      <c r="X754" s="196">
        <f t="shared" si="67"/>
        <v>66</v>
      </c>
    </row>
    <row r="755" spans="1:24" s="221" customFormat="1">
      <c r="A755" s="221" t="s">
        <v>1025</v>
      </c>
      <c r="B755" s="195" t="s">
        <v>1024</v>
      </c>
      <c r="E755" s="226"/>
      <c r="F755" s="226" t="s">
        <v>1021</v>
      </c>
      <c r="G755" s="220" t="str">
        <f t="shared" si="66"/>
        <v>22/10/2008</v>
      </c>
      <c r="H755" s="221">
        <v>22</v>
      </c>
      <c r="I755" s="221">
        <v>10</v>
      </c>
      <c r="J755" s="221">
        <v>2008</v>
      </c>
      <c r="L755" s="226"/>
      <c r="M755" s="221" t="s">
        <v>869</v>
      </c>
      <c r="N755" s="224">
        <v>1190.7</v>
      </c>
      <c r="O755" s="224"/>
      <c r="Q755" s="221">
        <v>10</v>
      </c>
      <c r="R755" s="112">
        <f t="shared" si="68"/>
        <v>9.9141666666666666</v>
      </c>
      <c r="S755" s="223">
        <f t="shared" si="70"/>
        <v>654.33500000000004</v>
      </c>
      <c r="T755" s="223">
        <f t="shared" si="69"/>
        <v>536.36500000000001</v>
      </c>
      <c r="U755" s="221">
        <v>11645</v>
      </c>
      <c r="V755" s="233"/>
      <c r="W755" s="223"/>
      <c r="X755" s="196">
        <f t="shared" si="67"/>
        <v>66</v>
      </c>
    </row>
    <row r="756" spans="1:24" s="221" customFormat="1">
      <c r="A756" s="221" t="s">
        <v>1023</v>
      </c>
      <c r="B756" s="195" t="s">
        <v>1022</v>
      </c>
      <c r="E756" s="226"/>
      <c r="F756" s="226" t="s">
        <v>1021</v>
      </c>
      <c r="G756" s="220" t="str">
        <f t="shared" si="66"/>
        <v>22/10/2008</v>
      </c>
      <c r="H756" s="221">
        <v>22</v>
      </c>
      <c r="I756" s="221">
        <v>10</v>
      </c>
      <c r="J756" s="221">
        <v>2008</v>
      </c>
      <c r="L756" s="226"/>
      <c r="M756" s="221" t="s">
        <v>869</v>
      </c>
      <c r="N756" s="224">
        <v>600</v>
      </c>
      <c r="O756" s="224"/>
      <c r="Q756" s="221">
        <v>10</v>
      </c>
      <c r="R756" s="112">
        <f t="shared" si="68"/>
        <v>4.9916666666666663</v>
      </c>
      <c r="S756" s="223">
        <f t="shared" si="70"/>
        <v>329.45</v>
      </c>
      <c r="T756" s="223">
        <f t="shared" si="69"/>
        <v>270.55</v>
      </c>
      <c r="U756" s="221">
        <v>11645</v>
      </c>
      <c r="V756" s="233"/>
      <c r="W756" s="223"/>
      <c r="X756" s="196">
        <f t="shared" si="67"/>
        <v>66</v>
      </c>
    </row>
    <row r="757" spans="1:24" s="221" customFormat="1">
      <c r="A757" s="221" t="s">
        <v>1020</v>
      </c>
      <c r="B757" s="195" t="s">
        <v>1019</v>
      </c>
      <c r="C757" s="221" t="s">
        <v>1018</v>
      </c>
      <c r="E757" s="226"/>
      <c r="F757" s="226" t="s">
        <v>1017</v>
      </c>
      <c r="G757" s="220" t="str">
        <f t="shared" si="66"/>
        <v>29/10/2008</v>
      </c>
      <c r="H757" s="221">
        <v>29</v>
      </c>
      <c r="I757" s="221">
        <v>10</v>
      </c>
      <c r="J757" s="221">
        <v>2008</v>
      </c>
      <c r="K757" s="221" t="s">
        <v>37</v>
      </c>
      <c r="L757" s="226"/>
      <c r="M757" s="221" t="s">
        <v>869</v>
      </c>
      <c r="N757" s="224">
        <v>18032.900000000001</v>
      </c>
      <c r="O757" s="224"/>
      <c r="Q757" s="221">
        <v>10</v>
      </c>
      <c r="R757" s="112">
        <f t="shared" si="68"/>
        <v>150.26583333333335</v>
      </c>
      <c r="S757" s="223">
        <f t="shared" si="70"/>
        <v>9917.5450000000001</v>
      </c>
      <c r="T757" s="223">
        <f t="shared" si="69"/>
        <v>8115.3550000000014</v>
      </c>
      <c r="U757" s="221">
        <v>11657</v>
      </c>
      <c r="V757" s="233"/>
      <c r="W757" s="223"/>
      <c r="X757" s="196">
        <f t="shared" si="67"/>
        <v>66</v>
      </c>
    </row>
    <row r="758" spans="1:24" s="221" customFormat="1">
      <c r="A758" s="221" t="s">
        <v>1016</v>
      </c>
      <c r="B758" s="195" t="s">
        <v>1015</v>
      </c>
      <c r="E758" s="226"/>
      <c r="F758" s="226" t="s">
        <v>968</v>
      </c>
      <c r="G758" s="220" t="str">
        <f t="shared" si="66"/>
        <v>31/10/2008</v>
      </c>
      <c r="H758" s="221">
        <v>31</v>
      </c>
      <c r="I758" s="221">
        <v>10</v>
      </c>
      <c r="J758" s="221">
        <v>2008</v>
      </c>
      <c r="K758" s="221" t="s">
        <v>1014</v>
      </c>
      <c r="L758" s="226"/>
      <c r="M758" s="221" t="s">
        <v>869</v>
      </c>
      <c r="N758" s="224">
        <v>20778.419999999998</v>
      </c>
      <c r="O758" s="224"/>
      <c r="Q758" s="221">
        <v>10</v>
      </c>
      <c r="R758" s="112">
        <f t="shared" si="68"/>
        <v>173.14516666666665</v>
      </c>
      <c r="S758" s="223">
        <f t="shared" si="70"/>
        <v>11254.435833333333</v>
      </c>
      <c r="T758" s="223">
        <f t="shared" si="69"/>
        <v>9523.9841666666653</v>
      </c>
      <c r="U758" s="221">
        <v>11658</v>
      </c>
      <c r="V758" s="233"/>
      <c r="W758" s="223"/>
      <c r="X758" s="196">
        <f t="shared" si="67"/>
        <v>65</v>
      </c>
    </row>
    <row r="759" spans="1:24" s="221" customFormat="1">
      <c r="A759" s="221" t="s">
        <v>1013</v>
      </c>
      <c r="B759" s="195" t="s">
        <v>1010</v>
      </c>
      <c r="E759" s="226"/>
      <c r="F759" s="226" t="s">
        <v>968</v>
      </c>
      <c r="G759" s="220" t="str">
        <f t="shared" si="66"/>
        <v>31/10/2008</v>
      </c>
      <c r="H759" s="221">
        <v>31</v>
      </c>
      <c r="I759" s="221">
        <v>10</v>
      </c>
      <c r="J759" s="221">
        <v>2008</v>
      </c>
      <c r="K759" s="221" t="s">
        <v>37</v>
      </c>
      <c r="L759" s="226"/>
      <c r="M759" s="221" t="s">
        <v>869</v>
      </c>
      <c r="N759" s="224">
        <v>13361.81</v>
      </c>
      <c r="O759" s="224"/>
      <c r="Q759" s="221">
        <v>10</v>
      </c>
      <c r="R759" s="112">
        <f t="shared" si="68"/>
        <v>111.34008333333333</v>
      </c>
      <c r="S759" s="223">
        <f t="shared" si="70"/>
        <v>7237.1054166666663</v>
      </c>
      <c r="T759" s="223">
        <f t="shared" si="69"/>
        <v>6124.7045833333332</v>
      </c>
      <c r="U759" s="221">
        <v>11658</v>
      </c>
      <c r="V759" s="233"/>
      <c r="W759" s="223"/>
      <c r="X759" s="196">
        <f t="shared" si="67"/>
        <v>65</v>
      </c>
    </row>
    <row r="760" spans="1:24" s="221" customFormat="1">
      <c r="A760" s="221" t="s">
        <v>1012</v>
      </c>
      <c r="B760" s="195" t="s">
        <v>1010</v>
      </c>
      <c r="E760" s="226"/>
      <c r="F760" s="226" t="s">
        <v>968</v>
      </c>
      <c r="G760" s="220" t="str">
        <f t="shared" si="66"/>
        <v>31/10/2008</v>
      </c>
      <c r="H760" s="221">
        <v>31</v>
      </c>
      <c r="I760" s="221">
        <v>10</v>
      </c>
      <c r="J760" s="221">
        <v>2008</v>
      </c>
      <c r="K760" s="221" t="s">
        <v>37</v>
      </c>
      <c r="L760" s="226"/>
      <c r="M760" s="221" t="s">
        <v>869</v>
      </c>
      <c r="N760" s="224">
        <v>13361.81</v>
      </c>
      <c r="O760" s="224"/>
      <c r="Q760" s="221">
        <v>10</v>
      </c>
      <c r="R760" s="112">
        <f t="shared" si="68"/>
        <v>111.34008333333333</v>
      </c>
      <c r="S760" s="223">
        <f t="shared" si="70"/>
        <v>7237.1054166666663</v>
      </c>
      <c r="T760" s="223">
        <f t="shared" si="69"/>
        <v>6124.7045833333332</v>
      </c>
      <c r="U760" s="221">
        <v>11658</v>
      </c>
      <c r="V760" s="233"/>
      <c r="W760" s="223"/>
      <c r="X760" s="196">
        <f t="shared" si="67"/>
        <v>65</v>
      </c>
    </row>
    <row r="761" spans="1:24" s="221" customFormat="1">
      <c r="A761" s="221" t="s">
        <v>1011</v>
      </c>
      <c r="B761" s="195" t="s">
        <v>1010</v>
      </c>
      <c r="E761" s="226"/>
      <c r="F761" s="226" t="s">
        <v>968</v>
      </c>
      <c r="G761" s="220" t="str">
        <f t="shared" si="66"/>
        <v>31/10/2008</v>
      </c>
      <c r="H761" s="221">
        <v>31</v>
      </c>
      <c r="I761" s="221">
        <v>10</v>
      </c>
      <c r="J761" s="221">
        <v>2008</v>
      </c>
      <c r="K761" s="221" t="s">
        <v>37</v>
      </c>
      <c r="L761" s="226"/>
      <c r="M761" s="221" t="s">
        <v>869</v>
      </c>
      <c r="N761" s="224">
        <v>13361.81</v>
      </c>
      <c r="O761" s="224"/>
      <c r="Q761" s="221">
        <v>10</v>
      </c>
      <c r="R761" s="112">
        <f t="shared" si="68"/>
        <v>111.34008333333333</v>
      </c>
      <c r="S761" s="223">
        <f t="shared" si="70"/>
        <v>7237.1054166666663</v>
      </c>
      <c r="T761" s="223">
        <f t="shared" si="69"/>
        <v>6124.7045833333332</v>
      </c>
      <c r="U761" s="221">
        <v>11658</v>
      </c>
      <c r="V761" s="233"/>
      <c r="W761" s="223"/>
      <c r="X761" s="196">
        <f t="shared" si="67"/>
        <v>65</v>
      </c>
    </row>
    <row r="762" spans="1:24" s="221" customFormat="1">
      <c r="A762" s="221" t="s">
        <v>1009</v>
      </c>
      <c r="B762" s="195" t="s">
        <v>990</v>
      </c>
      <c r="E762" s="226"/>
      <c r="F762" s="226" t="s">
        <v>968</v>
      </c>
      <c r="G762" s="220" t="str">
        <f t="shared" si="66"/>
        <v>31/10/2008</v>
      </c>
      <c r="H762" s="221">
        <v>31</v>
      </c>
      <c r="I762" s="221">
        <v>10</v>
      </c>
      <c r="J762" s="221">
        <v>2008</v>
      </c>
      <c r="K762" s="221" t="s">
        <v>37</v>
      </c>
      <c r="L762" s="226"/>
      <c r="M762" s="221" t="s">
        <v>869</v>
      </c>
      <c r="N762" s="224">
        <v>12610.96</v>
      </c>
      <c r="O762" s="224"/>
      <c r="Q762" s="221">
        <v>10</v>
      </c>
      <c r="R762" s="112">
        <f t="shared" si="68"/>
        <v>105.08299999999998</v>
      </c>
      <c r="S762" s="223">
        <f t="shared" si="70"/>
        <v>6830.3949999999986</v>
      </c>
      <c r="T762" s="223">
        <f t="shared" si="69"/>
        <v>5780.5650000000005</v>
      </c>
      <c r="U762" s="221">
        <v>11658</v>
      </c>
      <c r="V762" s="233"/>
      <c r="W762" s="223"/>
      <c r="X762" s="196">
        <f t="shared" si="67"/>
        <v>65</v>
      </c>
    </row>
    <row r="763" spans="1:24" s="221" customFormat="1">
      <c r="A763" s="221" t="s">
        <v>1008</v>
      </c>
      <c r="B763" s="195" t="s">
        <v>990</v>
      </c>
      <c r="E763" s="226"/>
      <c r="F763" s="226" t="s">
        <v>968</v>
      </c>
      <c r="G763" s="220" t="str">
        <f t="shared" si="66"/>
        <v>31/10/2008</v>
      </c>
      <c r="H763" s="221">
        <v>31</v>
      </c>
      <c r="I763" s="221">
        <v>10</v>
      </c>
      <c r="J763" s="221">
        <v>2008</v>
      </c>
      <c r="K763" s="221" t="s">
        <v>37</v>
      </c>
      <c r="L763" s="226"/>
      <c r="M763" s="221" t="s">
        <v>869</v>
      </c>
      <c r="N763" s="224">
        <v>12610.96</v>
      </c>
      <c r="O763" s="224"/>
      <c r="Q763" s="221">
        <v>10</v>
      </c>
      <c r="R763" s="112">
        <f t="shared" si="68"/>
        <v>105.08299999999998</v>
      </c>
      <c r="S763" s="223">
        <f t="shared" si="70"/>
        <v>6830.3949999999986</v>
      </c>
      <c r="T763" s="223">
        <f t="shared" si="69"/>
        <v>5780.5650000000005</v>
      </c>
      <c r="U763" s="221">
        <v>11658</v>
      </c>
      <c r="V763" s="233"/>
      <c r="W763" s="223"/>
      <c r="X763" s="196">
        <f t="shared" si="67"/>
        <v>65</v>
      </c>
    </row>
    <row r="764" spans="1:24" s="221" customFormat="1">
      <c r="A764" s="221" t="s">
        <v>1007</v>
      </c>
      <c r="B764" s="195" t="s">
        <v>990</v>
      </c>
      <c r="E764" s="226"/>
      <c r="F764" s="226" t="s">
        <v>968</v>
      </c>
      <c r="G764" s="220" t="str">
        <f t="shared" si="66"/>
        <v>31/10/2008</v>
      </c>
      <c r="H764" s="221">
        <v>31</v>
      </c>
      <c r="I764" s="221">
        <v>10</v>
      </c>
      <c r="J764" s="221">
        <v>2008</v>
      </c>
      <c r="K764" s="221" t="s">
        <v>37</v>
      </c>
      <c r="L764" s="226"/>
      <c r="M764" s="221" t="s">
        <v>869</v>
      </c>
      <c r="N764" s="224">
        <v>12610.96</v>
      </c>
      <c r="O764" s="224"/>
      <c r="Q764" s="221">
        <v>10</v>
      </c>
      <c r="R764" s="112">
        <f t="shared" si="68"/>
        <v>105.08299999999998</v>
      </c>
      <c r="S764" s="223">
        <f t="shared" si="70"/>
        <v>6830.3949999999986</v>
      </c>
      <c r="T764" s="223">
        <f t="shared" si="69"/>
        <v>5780.5650000000005</v>
      </c>
      <c r="U764" s="221">
        <v>11658</v>
      </c>
      <c r="V764" s="233"/>
      <c r="W764" s="223"/>
      <c r="X764" s="196">
        <f t="shared" si="67"/>
        <v>65</v>
      </c>
    </row>
    <row r="765" spans="1:24" s="221" customFormat="1">
      <c r="A765" s="221" t="s">
        <v>1006</v>
      </c>
      <c r="B765" s="195" t="s">
        <v>990</v>
      </c>
      <c r="E765" s="226"/>
      <c r="F765" s="226" t="s">
        <v>968</v>
      </c>
      <c r="G765" s="220" t="str">
        <f t="shared" si="66"/>
        <v>31/10/2008</v>
      </c>
      <c r="H765" s="221">
        <v>31</v>
      </c>
      <c r="I765" s="221">
        <v>10</v>
      </c>
      <c r="J765" s="221">
        <v>2008</v>
      </c>
      <c r="K765" s="221" t="s">
        <v>37</v>
      </c>
      <c r="L765" s="226"/>
      <c r="M765" s="221" t="s">
        <v>869</v>
      </c>
      <c r="N765" s="224">
        <v>12610.96</v>
      </c>
      <c r="O765" s="224"/>
      <c r="Q765" s="221">
        <v>10</v>
      </c>
      <c r="R765" s="112">
        <f t="shared" si="68"/>
        <v>105.08299999999998</v>
      </c>
      <c r="S765" s="223">
        <f t="shared" si="70"/>
        <v>6830.3949999999986</v>
      </c>
      <c r="T765" s="223">
        <f t="shared" si="69"/>
        <v>5780.5650000000005</v>
      </c>
      <c r="U765" s="221">
        <v>11658</v>
      </c>
      <c r="V765" s="233"/>
      <c r="W765" s="223"/>
      <c r="X765" s="196">
        <f t="shared" si="67"/>
        <v>65</v>
      </c>
    </row>
    <row r="766" spans="1:24" s="221" customFormat="1">
      <c r="A766" s="221" t="s">
        <v>1005</v>
      </c>
      <c r="B766" s="195" t="s">
        <v>990</v>
      </c>
      <c r="E766" s="226"/>
      <c r="F766" s="226" t="s">
        <v>968</v>
      </c>
      <c r="G766" s="220" t="str">
        <f t="shared" si="66"/>
        <v>31/10/2008</v>
      </c>
      <c r="H766" s="221">
        <v>31</v>
      </c>
      <c r="I766" s="221">
        <v>10</v>
      </c>
      <c r="J766" s="221">
        <v>2008</v>
      </c>
      <c r="K766" s="221" t="s">
        <v>37</v>
      </c>
      <c r="L766" s="226"/>
      <c r="M766" s="221" t="s">
        <v>869</v>
      </c>
      <c r="N766" s="224">
        <v>12610.96</v>
      </c>
      <c r="O766" s="224"/>
      <c r="Q766" s="221">
        <v>10</v>
      </c>
      <c r="R766" s="112">
        <f t="shared" si="68"/>
        <v>105.08299999999998</v>
      </c>
      <c r="S766" s="223">
        <f t="shared" si="70"/>
        <v>6830.3949999999986</v>
      </c>
      <c r="T766" s="223">
        <f t="shared" si="69"/>
        <v>5780.5650000000005</v>
      </c>
      <c r="U766" s="221">
        <v>11658</v>
      </c>
      <c r="V766" s="233"/>
      <c r="W766" s="223"/>
      <c r="X766" s="196">
        <f t="shared" si="67"/>
        <v>65</v>
      </c>
    </row>
    <row r="767" spans="1:24" s="221" customFormat="1">
      <c r="A767" s="221" t="s">
        <v>1004</v>
      </c>
      <c r="B767" s="195" t="s">
        <v>990</v>
      </c>
      <c r="E767" s="226"/>
      <c r="F767" s="226" t="s">
        <v>968</v>
      </c>
      <c r="G767" s="220" t="str">
        <f t="shared" si="66"/>
        <v>31/10/2008</v>
      </c>
      <c r="H767" s="221">
        <v>31</v>
      </c>
      <c r="I767" s="221">
        <v>10</v>
      </c>
      <c r="J767" s="221">
        <v>2008</v>
      </c>
      <c r="K767" s="221" t="s">
        <v>37</v>
      </c>
      <c r="L767" s="226"/>
      <c r="M767" s="221" t="s">
        <v>869</v>
      </c>
      <c r="N767" s="224">
        <v>12610.96</v>
      </c>
      <c r="O767" s="224"/>
      <c r="Q767" s="221">
        <v>10</v>
      </c>
      <c r="R767" s="112">
        <f t="shared" si="68"/>
        <v>105.08299999999998</v>
      </c>
      <c r="S767" s="223">
        <f t="shared" si="70"/>
        <v>6830.3949999999986</v>
      </c>
      <c r="T767" s="223">
        <f t="shared" si="69"/>
        <v>5780.5650000000005</v>
      </c>
      <c r="U767" s="221">
        <v>11658</v>
      </c>
      <c r="V767" s="233"/>
      <c r="W767" s="223"/>
      <c r="X767" s="196">
        <f t="shared" si="67"/>
        <v>65</v>
      </c>
    </row>
    <row r="768" spans="1:24" s="221" customFormat="1">
      <c r="A768" s="221" t="s">
        <v>1003</v>
      </c>
      <c r="B768" s="195" t="s">
        <v>990</v>
      </c>
      <c r="E768" s="226"/>
      <c r="F768" s="226" t="s">
        <v>968</v>
      </c>
      <c r="G768" s="220" t="str">
        <f t="shared" si="66"/>
        <v>31/10/2008</v>
      </c>
      <c r="H768" s="221">
        <v>31</v>
      </c>
      <c r="I768" s="221">
        <v>10</v>
      </c>
      <c r="J768" s="221">
        <v>2008</v>
      </c>
      <c r="K768" s="221" t="s">
        <v>37</v>
      </c>
      <c r="L768" s="226"/>
      <c r="M768" s="221" t="s">
        <v>869</v>
      </c>
      <c r="N768" s="224">
        <v>12610.96</v>
      </c>
      <c r="O768" s="224"/>
      <c r="Q768" s="221">
        <v>10</v>
      </c>
      <c r="R768" s="112">
        <f t="shared" si="68"/>
        <v>105.08299999999998</v>
      </c>
      <c r="S768" s="223">
        <f t="shared" si="70"/>
        <v>6830.3949999999986</v>
      </c>
      <c r="T768" s="223">
        <f t="shared" si="69"/>
        <v>5780.5650000000005</v>
      </c>
      <c r="U768" s="221">
        <v>11658</v>
      </c>
      <c r="V768" s="233"/>
      <c r="W768" s="223"/>
      <c r="X768" s="196">
        <f t="shared" si="67"/>
        <v>65</v>
      </c>
    </row>
    <row r="769" spans="1:24" s="221" customFormat="1">
      <c r="A769" s="221" t="s">
        <v>1002</v>
      </c>
      <c r="B769" s="195" t="s">
        <v>990</v>
      </c>
      <c r="E769" s="226"/>
      <c r="F769" s="226" t="s">
        <v>968</v>
      </c>
      <c r="G769" s="220" t="str">
        <f t="shared" si="66"/>
        <v>31/10/2008</v>
      </c>
      <c r="H769" s="221">
        <v>31</v>
      </c>
      <c r="I769" s="221">
        <v>10</v>
      </c>
      <c r="J769" s="221">
        <v>2008</v>
      </c>
      <c r="K769" s="221" t="s">
        <v>37</v>
      </c>
      <c r="L769" s="226"/>
      <c r="M769" s="221" t="s">
        <v>869</v>
      </c>
      <c r="N769" s="224">
        <v>12610.96</v>
      </c>
      <c r="O769" s="224"/>
      <c r="Q769" s="221">
        <v>10</v>
      </c>
      <c r="R769" s="112">
        <f t="shared" si="68"/>
        <v>105.08299999999998</v>
      </c>
      <c r="S769" s="223">
        <f t="shared" si="70"/>
        <v>6830.3949999999986</v>
      </c>
      <c r="T769" s="223">
        <f t="shared" si="69"/>
        <v>5780.5650000000005</v>
      </c>
      <c r="U769" s="221">
        <v>11658</v>
      </c>
      <c r="V769" s="233"/>
      <c r="W769" s="223"/>
      <c r="X769" s="196">
        <f t="shared" si="67"/>
        <v>65</v>
      </c>
    </row>
    <row r="770" spans="1:24" s="221" customFormat="1">
      <c r="A770" s="221" t="s">
        <v>1001</v>
      </c>
      <c r="B770" s="195" t="s">
        <v>990</v>
      </c>
      <c r="E770" s="226"/>
      <c r="F770" s="226" t="s">
        <v>968</v>
      </c>
      <c r="G770" s="220" t="str">
        <f t="shared" si="66"/>
        <v>31/10/2008</v>
      </c>
      <c r="H770" s="221">
        <v>31</v>
      </c>
      <c r="I770" s="221">
        <v>10</v>
      </c>
      <c r="J770" s="221">
        <v>2008</v>
      </c>
      <c r="K770" s="221" t="s">
        <v>37</v>
      </c>
      <c r="L770" s="226"/>
      <c r="M770" s="221" t="s">
        <v>869</v>
      </c>
      <c r="N770" s="224">
        <v>12610.96</v>
      </c>
      <c r="O770" s="224"/>
      <c r="Q770" s="221">
        <v>10</v>
      </c>
      <c r="R770" s="112">
        <f t="shared" si="68"/>
        <v>105.08299999999998</v>
      </c>
      <c r="S770" s="223">
        <f t="shared" si="70"/>
        <v>6830.3949999999986</v>
      </c>
      <c r="T770" s="223">
        <f t="shared" si="69"/>
        <v>5780.5650000000005</v>
      </c>
      <c r="U770" s="221">
        <v>11658</v>
      </c>
      <c r="V770" s="233"/>
      <c r="W770" s="223"/>
      <c r="X770" s="196">
        <f t="shared" si="67"/>
        <v>65</v>
      </c>
    </row>
    <row r="771" spans="1:24" s="221" customFormat="1">
      <c r="A771" s="221" t="s">
        <v>1000</v>
      </c>
      <c r="B771" s="195" t="s">
        <v>990</v>
      </c>
      <c r="E771" s="226"/>
      <c r="F771" s="226" t="s">
        <v>968</v>
      </c>
      <c r="G771" s="220" t="str">
        <f t="shared" si="66"/>
        <v>31/10/2008</v>
      </c>
      <c r="H771" s="221">
        <v>31</v>
      </c>
      <c r="I771" s="221">
        <v>10</v>
      </c>
      <c r="J771" s="221">
        <v>2008</v>
      </c>
      <c r="K771" s="221" t="s">
        <v>37</v>
      </c>
      <c r="L771" s="226"/>
      <c r="M771" s="221" t="s">
        <v>869</v>
      </c>
      <c r="N771" s="224">
        <v>12610.96</v>
      </c>
      <c r="O771" s="224"/>
      <c r="Q771" s="221">
        <v>10</v>
      </c>
      <c r="R771" s="112">
        <f t="shared" si="68"/>
        <v>105.08299999999998</v>
      </c>
      <c r="S771" s="223">
        <f t="shared" si="70"/>
        <v>6830.3949999999986</v>
      </c>
      <c r="T771" s="223">
        <f t="shared" si="69"/>
        <v>5780.5650000000005</v>
      </c>
      <c r="U771" s="221">
        <v>11658</v>
      </c>
      <c r="V771" s="233"/>
      <c r="W771" s="223"/>
      <c r="X771" s="196">
        <f t="shared" si="67"/>
        <v>65</v>
      </c>
    </row>
    <row r="772" spans="1:24" s="221" customFormat="1">
      <c r="A772" s="221" t="s">
        <v>999</v>
      </c>
      <c r="B772" s="195" t="s">
        <v>990</v>
      </c>
      <c r="E772" s="226"/>
      <c r="F772" s="226" t="s">
        <v>968</v>
      </c>
      <c r="G772" s="220" t="str">
        <f t="shared" si="66"/>
        <v>31/10/2008</v>
      </c>
      <c r="H772" s="221">
        <v>31</v>
      </c>
      <c r="I772" s="221">
        <v>10</v>
      </c>
      <c r="J772" s="221">
        <v>2008</v>
      </c>
      <c r="K772" s="221" t="s">
        <v>37</v>
      </c>
      <c r="L772" s="226"/>
      <c r="M772" s="221" t="s">
        <v>869</v>
      </c>
      <c r="N772" s="224">
        <v>12610.96</v>
      </c>
      <c r="O772" s="224"/>
      <c r="Q772" s="221">
        <v>10</v>
      </c>
      <c r="R772" s="112">
        <f t="shared" si="68"/>
        <v>105.08299999999998</v>
      </c>
      <c r="S772" s="223">
        <f t="shared" si="70"/>
        <v>6830.3949999999986</v>
      </c>
      <c r="T772" s="223">
        <f t="shared" si="69"/>
        <v>5780.5650000000005</v>
      </c>
      <c r="U772" s="221">
        <v>11658</v>
      </c>
      <c r="V772" s="233"/>
      <c r="W772" s="223"/>
      <c r="X772" s="196">
        <f t="shared" si="67"/>
        <v>65</v>
      </c>
    </row>
    <row r="773" spans="1:24" s="221" customFormat="1">
      <c r="A773" s="221" t="s">
        <v>998</v>
      </c>
      <c r="B773" s="195" t="s">
        <v>990</v>
      </c>
      <c r="E773" s="226"/>
      <c r="F773" s="226" t="s">
        <v>968</v>
      </c>
      <c r="G773" s="220" t="str">
        <f t="shared" si="66"/>
        <v>31/10/2008</v>
      </c>
      <c r="H773" s="221">
        <v>31</v>
      </c>
      <c r="I773" s="221">
        <v>10</v>
      </c>
      <c r="J773" s="221">
        <v>2008</v>
      </c>
      <c r="K773" s="221" t="s">
        <v>37</v>
      </c>
      <c r="L773" s="226"/>
      <c r="M773" s="221" t="s">
        <v>869</v>
      </c>
      <c r="N773" s="224">
        <v>12610.96</v>
      </c>
      <c r="O773" s="224"/>
      <c r="Q773" s="221">
        <v>10</v>
      </c>
      <c r="R773" s="112">
        <f t="shared" si="68"/>
        <v>105.08299999999998</v>
      </c>
      <c r="S773" s="223">
        <f t="shared" si="70"/>
        <v>6830.3949999999986</v>
      </c>
      <c r="T773" s="223">
        <f t="shared" si="69"/>
        <v>5780.5650000000005</v>
      </c>
      <c r="U773" s="221">
        <v>11658</v>
      </c>
      <c r="V773" s="233"/>
      <c r="W773" s="223"/>
      <c r="X773" s="196">
        <f t="shared" si="67"/>
        <v>65</v>
      </c>
    </row>
    <row r="774" spans="1:24" s="221" customFormat="1">
      <c r="A774" s="221" t="s">
        <v>997</v>
      </c>
      <c r="B774" s="195" t="s">
        <v>990</v>
      </c>
      <c r="E774" s="226"/>
      <c r="F774" s="226" t="s">
        <v>968</v>
      </c>
      <c r="G774" s="220" t="str">
        <f t="shared" si="66"/>
        <v>31/10/2008</v>
      </c>
      <c r="H774" s="221">
        <v>31</v>
      </c>
      <c r="I774" s="221">
        <v>10</v>
      </c>
      <c r="J774" s="221">
        <v>2008</v>
      </c>
      <c r="K774" s="221" t="s">
        <v>37</v>
      </c>
      <c r="L774" s="226"/>
      <c r="M774" s="221" t="s">
        <v>869</v>
      </c>
      <c r="N774" s="224">
        <v>12610.96</v>
      </c>
      <c r="O774" s="224"/>
      <c r="Q774" s="221">
        <v>10</v>
      </c>
      <c r="R774" s="112">
        <f t="shared" si="68"/>
        <v>105.08299999999998</v>
      </c>
      <c r="S774" s="223">
        <f t="shared" si="70"/>
        <v>6830.3949999999986</v>
      </c>
      <c r="T774" s="223">
        <f t="shared" si="69"/>
        <v>5780.5650000000005</v>
      </c>
      <c r="U774" s="221">
        <v>11658</v>
      </c>
      <c r="V774" s="233"/>
      <c r="W774" s="223"/>
      <c r="X774" s="196">
        <f t="shared" si="67"/>
        <v>65</v>
      </c>
    </row>
    <row r="775" spans="1:24" s="221" customFormat="1">
      <c r="A775" s="221" t="s">
        <v>996</v>
      </c>
      <c r="B775" s="195" t="s">
        <v>990</v>
      </c>
      <c r="E775" s="226"/>
      <c r="F775" s="226" t="s">
        <v>968</v>
      </c>
      <c r="G775" s="220" t="str">
        <f t="shared" ref="G775:G838" si="71">CONCATENATE(H775,"/",I775,"/",J775,)</f>
        <v>31/10/2008</v>
      </c>
      <c r="H775" s="221">
        <v>31</v>
      </c>
      <c r="I775" s="221">
        <v>10</v>
      </c>
      <c r="J775" s="221">
        <v>2008</v>
      </c>
      <c r="K775" s="221" t="s">
        <v>37</v>
      </c>
      <c r="L775" s="226"/>
      <c r="M775" s="221" t="s">
        <v>869</v>
      </c>
      <c r="N775" s="224">
        <v>12610.96</v>
      </c>
      <c r="O775" s="224"/>
      <c r="Q775" s="221">
        <v>10</v>
      </c>
      <c r="R775" s="112">
        <f t="shared" si="68"/>
        <v>105.08299999999998</v>
      </c>
      <c r="S775" s="223">
        <f t="shared" si="70"/>
        <v>6830.3949999999986</v>
      </c>
      <c r="T775" s="223">
        <f t="shared" si="69"/>
        <v>5780.5650000000005</v>
      </c>
      <c r="U775" s="221">
        <v>11658</v>
      </c>
      <c r="V775" s="233"/>
      <c r="W775" s="223"/>
      <c r="X775" s="196">
        <f t="shared" ref="X775:X838" si="72">IF((DATEDIF(G775,X$4,"m"))&gt;=120,120,(DATEDIF(G775,X$4,"m")))</f>
        <v>65</v>
      </c>
    </row>
    <row r="776" spans="1:24" s="221" customFormat="1">
      <c r="A776" s="221" t="s">
        <v>995</v>
      </c>
      <c r="B776" s="195" t="s">
        <v>990</v>
      </c>
      <c r="E776" s="226"/>
      <c r="F776" s="226" t="s">
        <v>968</v>
      </c>
      <c r="G776" s="220" t="str">
        <f t="shared" si="71"/>
        <v>31/10/2008</v>
      </c>
      <c r="H776" s="221">
        <v>31</v>
      </c>
      <c r="I776" s="221">
        <v>10</v>
      </c>
      <c r="J776" s="221">
        <v>2008</v>
      </c>
      <c r="K776" s="221" t="s">
        <v>37</v>
      </c>
      <c r="L776" s="226"/>
      <c r="M776" s="221" t="s">
        <v>869</v>
      </c>
      <c r="N776" s="224">
        <v>12610.96</v>
      </c>
      <c r="O776" s="224"/>
      <c r="Q776" s="221">
        <v>10</v>
      </c>
      <c r="R776" s="112">
        <f t="shared" si="68"/>
        <v>105.08299999999998</v>
      </c>
      <c r="S776" s="223">
        <f t="shared" si="70"/>
        <v>6830.3949999999986</v>
      </c>
      <c r="T776" s="223">
        <f t="shared" si="69"/>
        <v>5780.5650000000005</v>
      </c>
      <c r="U776" s="221">
        <v>11658</v>
      </c>
      <c r="V776" s="233"/>
      <c r="W776" s="223"/>
      <c r="X776" s="196">
        <f t="shared" si="72"/>
        <v>65</v>
      </c>
    </row>
    <row r="777" spans="1:24" s="221" customFormat="1">
      <c r="A777" s="221" t="s">
        <v>994</v>
      </c>
      <c r="B777" s="195" t="s">
        <v>990</v>
      </c>
      <c r="E777" s="226"/>
      <c r="F777" s="226" t="s">
        <v>968</v>
      </c>
      <c r="G777" s="220" t="str">
        <f t="shared" si="71"/>
        <v>31/10/2008</v>
      </c>
      <c r="H777" s="221">
        <v>31</v>
      </c>
      <c r="I777" s="221">
        <v>10</v>
      </c>
      <c r="J777" s="221">
        <v>2008</v>
      </c>
      <c r="K777" s="221" t="s">
        <v>37</v>
      </c>
      <c r="L777" s="226"/>
      <c r="M777" s="221" t="s">
        <v>869</v>
      </c>
      <c r="N777" s="224">
        <v>12610.96</v>
      </c>
      <c r="O777" s="224"/>
      <c r="Q777" s="221">
        <v>10</v>
      </c>
      <c r="R777" s="112">
        <f t="shared" ref="R777:R840" si="73">(((N777)-1)/10)/12</f>
        <v>105.08299999999998</v>
      </c>
      <c r="S777" s="223">
        <f t="shared" si="70"/>
        <v>6830.3949999999986</v>
      </c>
      <c r="T777" s="223">
        <f t="shared" si="69"/>
        <v>5780.5650000000005</v>
      </c>
      <c r="U777" s="221">
        <v>11658</v>
      </c>
      <c r="V777" s="233"/>
      <c r="W777" s="223"/>
      <c r="X777" s="196">
        <f t="shared" si="72"/>
        <v>65</v>
      </c>
    </row>
    <row r="778" spans="1:24" s="221" customFormat="1">
      <c r="A778" s="221" t="s">
        <v>993</v>
      </c>
      <c r="B778" s="195" t="s">
        <v>990</v>
      </c>
      <c r="E778" s="226"/>
      <c r="F778" s="226" t="s">
        <v>968</v>
      </c>
      <c r="G778" s="220" t="str">
        <f t="shared" si="71"/>
        <v>31/10/2008</v>
      </c>
      <c r="H778" s="221">
        <v>31</v>
      </c>
      <c r="I778" s="221">
        <v>10</v>
      </c>
      <c r="J778" s="221">
        <v>2008</v>
      </c>
      <c r="K778" s="221" t="s">
        <v>37</v>
      </c>
      <c r="L778" s="226"/>
      <c r="M778" s="221" t="s">
        <v>869</v>
      </c>
      <c r="N778" s="224">
        <v>12610.96</v>
      </c>
      <c r="O778" s="224"/>
      <c r="Q778" s="221">
        <v>10</v>
      </c>
      <c r="R778" s="112">
        <f t="shared" si="73"/>
        <v>105.08299999999998</v>
      </c>
      <c r="S778" s="223">
        <f t="shared" si="70"/>
        <v>6830.3949999999986</v>
      </c>
      <c r="T778" s="223">
        <f t="shared" ref="T778:T801" si="74">N778-S778</f>
        <v>5780.5650000000005</v>
      </c>
      <c r="U778" s="221">
        <v>11658</v>
      </c>
      <c r="V778" s="233"/>
      <c r="W778" s="223"/>
      <c r="X778" s="196">
        <f t="shared" si="72"/>
        <v>65</v>
      </c>
    </row>
    <row r="779" spans="1:24" s="221" customFormat="1">
      <c r="A779" s="221" t="s">
        <v>992</v>
      </c>
      <c r="B779" s="195" t="s">
        <v>990</v>
      </c>
      <c r="E779" s="226"/>
      <c r="F779" s="226" t="s">
        <v>968</v>
      </c>
      <c r="G779" s="220" t="str">
        <f t="shared" si="71"/>
        <v>31/10/2008</v>
      </c>
      <c r="H779" s="221">
        <v>31</v>
      </c>
      <c r="I779" s="221">
        <v>10</v>
      </c>
      <c r="J779" s="221">
        <v>2008</v>
      </c>
      <c r="K779" s="221" t="s">
        <v>37</v>
      </c>
      <c r="L779" s="226"/>
      <c r="M779" s="221" t="s">
        <v>869</v>
      </c>
      <c r="N779" s="224">
        <v>12610.96</v>
      </c>
      <c r="O779" s="224"/>
      <c r="Q779" s="221">
        <v>10</v>
      </c>
      <c r="R779" s="112">
        <f t="shared" si="73"/>
        <v>105.08299999999998</v>
      </c>
      <c r="S779" s="223">
        <f t="shared" si="70"/>
        <v>6830.3949999999986</v>
      </c>
      <c r="T779" s="223">
        <f t="shared" si="74"/>
        <v>5780.5650000000005</v>
      </c>
      <c r="U779" s="221">
        <v>11658</v>
      </c>
      <c r="V779" s="233"/>
      <c r="W779" s="223"/>
      <c r="X779" s="196">
        <f t="shared" si="72"/>
        <v>65</v>
      </c>
    </row>
    <row r="780" spans="1:24" s="221" customFormat="1">
      <c r="A780" s="221" t="s">
        <v>991</v>
      </c>
      <c r="B780" s="195" t="s">
        <v>990</v>
      </c>
      <c r="E780" s="226"/>
      <c r="F780" s="226" t="s">
        <v>968</v>
      </c>
      <c r="G780" s="220" t="str">
        <f t="shared" si="71"/>
        <v>31/10/2008</v>
      </c>
      <c r="H780" s="221">
        <v>31</v>
      </c>
      <c r="I780" s="221">
        <v>10</v>
      </c>
      <c r="J780" s="221">
        <v>2008</v>
      </c>
      <c r="K780" s="221" t="s">
        <v>37</v>
      </c>
      <c r="L780" s="226"/>
      <c r="M780" s="221" t="s">
        <v>869</v>
      </c>
      <c r="N780" s="224">
        <v>12610.96</v>
      </c>
      <c r="O780" s="224"/>
      <c r="Q780" s="221">
        <v>10</v>
      </c>
      <c r="R780" s="112">
        <f t="shared" si="73"/>
        <v>105.08299999999998</v>
      </c>
      <c r="S780" s="223">
        <f t="shared" si="70"/>
        <v>6830.3949999999986</v>
      </c>
      <c r="T780" s="223">
        <f t="shared" si="74"/>
        <v>5780.5650000000005</v>
      </c>
      <c r="U780" s="221">
        <v>11658</v>
      </c>
      <c r="V780" s="233"/>
      <c r="W780" s="223"/>
      <c r="X780" s="196">
        <f t="shared" si="72"/>
        <v>65</v>
      </c>
    </row>
    <row r="781" spans="1:24" s="221" customFormat="1">
      <c r="A781" s="221" t="s">
        <v>989</v>
      </c>
      <c r="B781" s="195" t="s">
        <v>985</v>
      </c>
      <c r="E781" s="226"/>
      <c r="F781" s="226" t="s">
        <v>968</v>
      </c>
      <c r="G781" s="220" t="str">
        <f t="shared" si="71"/>
        <v>31/10/2008</v>
      </c>
      <c r="H781" s="221">
        <v>31</v>
      </c>
      <c r="I781" s="221">
        <v>10</v>
      </c>
      <c r="J781" s="221">
        <v>2008</v>
      </c>
      <c r="K781" s="221" t="s">
        <v>37</v>
      </c>
      <c r="L781" s="226"/>
      <c r="M781" s="221" t="s">
        <v>869</v>
      </c>
      <c r="N781" s="224">
        <v>19991.240000000002</v>
      </c>
      <c r="O781" s="224"/>
      <c r="Q781" s="221">
        <v>10</v>
      </c>
      <c r="R781" s="112">
        <f t="shared" si="73"/>
        <v>166.58533333333335</v>
      </c>
      <c r="S781" s="223">
        <f t="shared" si="70"/>
        <v>10828.046666666667</v>
      </c>
      <c r="T781" s="223">
        <f t="shared" si="74"/>
        <v>9163.1933333333345</v>
      </c>
      <c r="U781" s="221">
        <v>11658</v>
      </c>
      <c r="V781" s="233"/>
      <c r="W781" s="223"/>
      <c r="X781" s="196">
        <f t="shared" si="72"/>
        <v>65</v>
      </c>
    </row>
    <row r="782" spans="1:24" s="221" customFormat="1">
      <c r="A782" s="221" t="s">
        <v>988</v>
      </c>
      <c r="B782" s="195" t="s">
        <v>985</v>
      </c>
      <c r="E782" s="226"/>
      <c r="F782" s="226" t="s">
        <v>968</v>
      </c>
      <c r="G782" s="220" t="str">
        <f t="shared" si="71"/>
        <v>31/10/2008</v>
      </c>
      <c r="H782" s="221">
        <v>31</v>
      </c>
      <c r="I782" s="221">
        <v>10</v>
      </c>
      <c r="J782" s="221">
        <v>2008</v>
      </c>
      <c r="K782" s="221" t="s">
        <v>37</v>
      </c>
      <c r="L782" s="226"/>
      <c r="M782" s="221" t="s">
        <v>869</v>
      </c>
      <c r="N782" s="224">
        <v>19991.240000000002</v>
      </c>
      <c r="O782" s="224"/>
      <c r="Q782" s="221">
        <v>10</v>
      </c>
      <c r="R782" s="112">
        <f t="shared" si="73"/>
        <v>166.58533333333335</v>
      </c>
      <c r="S782" s="223">
        <f t="shared" si="70"/>
        <v>10828.046666666667</v>
      </c>
      <c r="T782" s="223">
        <f t="shared" si="74"/>
        <v>9163.1933333333345</v>
      </c>
      <c r="U782" s="221">
        <v>11658</v>
      </c>
      <c r="V782" s="233"/>
      <c r="W782" s="223"/>
      <c r="X782" s="196">
        <f t="shared" si="72"/>
        <v>65</v>
      </c>
    </row>
    <row r="783" spans="1:24" s="221" customFormat="1">
      <c r="A783" s="221" t="s">
        <v>987</v>
      </c>
      <c r="B783" s="195" t="s">
        <v>985</v>
      </c>
      <c r="E783" s="226"/>
      <c r="F783" s="226" t="s">
        <v>968</v>
      </c>
      <c r="G783" s="220" t="str">
        <f t="shared" si="71"/>
        <v>31/10/2008</v>
      </c>
      <c r="H783" s="221">
        <v>31</v>
      </c>
      <c r="I783" s="221">
        <v>10</v>
      </c>
      <c r="J783" s="221">
        <v>2008</v>
      </c>
      <c r="K783" s="221" t="s">
        <v>37</v>
      </c>
      <c r="L783" s="226"/>
      <c r="M783" s="221" t="s">
        <v>869</v>
      </c>
      <c r="N783" s="224">
        <v>19991.240000000002</v>
      </c>
      <c r="O783" s="224"/>
      <c r="Q783" s="221">
        <v>10</v>
      </c>
      <c r="R783" s="112">
        <f t="shared" si="73"/>
        <v>166.58533333333335</v>
      </c>
      <c r="S783" s="223">
        <f t="shared" si="70"/>
        <v>10828.046666666667</v>
      </c>
      <c r="T783" s="223">
        <f t="shared" si="74"/>
        <v>9163.1933333333345</v>
      </c>
      <c r="U783" s="221">
        <v>11658</v>
      </c>
      <c r="V783" s="233"/>
      <c r="W783" s="223"/>
      <c r="X783" s="196">
        <f t="shared" si="72"/>
        <v>65</v>
      </c>
    </row>
    <row r="784" spans="1:24" s="221" customFormat="1">
      <c r="A784" s="221" t="s">
        <v>986</v>
      </c>
      <c r="B784" s="195" t="s">
        <v>985</v>
      </c>
      <c r="E784" s="226"/>
      <c r="F784" s="226" t="s">
        <v>968</v>
      </c>
      <c r="G784" s="220" t="str">
        <f t="shared" si="71"/>
        <v>31/10/2008</v>
      </c>
      <c r="H784" s="221">
        <v>31</v>
      </c>
      <c r="I784" s="221">
        <v>10</v>
      </c>
      <c r="J784" s="221">
        <v>2008</v>
      </c>
      <c r="K784" s="221" t="s">
        <v>37</v>
      </c>
      <c r="L784" s="226"/>
      <c r="M784" s="221" t="s">
        <v>869</v>
      </c>
      <c r="N784" s="224">
        <v>19991.240000000002</v>
      </c>
      <c r="O784" s="224"/>
      <c r="Q784" s="221">
        <v>10</v>
      </c>
      <c r="R784" s="112">
        <f t="shared" si="73"/>
        <v>166.58533333333335</v>
      </c>
      <c r="S784" s="223">
        <f t="shared" si="70"/>
        <v>10828.046666666667</v>
      </c>
      <c r="T784" s="223">
        <f t="shared" si="74"/>
        <v>9163.1933333333345</v>
      </c>
      <c r="U784" s="221">
        <v>11658</v>
      </c>
      <c r="V784" s="233"/>
      <c r="W784" s="223"/>
      <c r="X784" s="196">
        <f t="shared" si="72"/>
        <v>65</v>
      </c>
    </row>
    <row r="785" spans="1:24" s="221" customFormat="1">
      <c r="A785" s="221" t="s">
        <v>984</v>
      </c>
      <c r="B785" s="195" t="s">
        <v>969</v>
      </c>
      <c r="E785" s="226"/>
      <c r="F785" s="226" t="s">
        <v>968</v>
      </c>
      <c r="G785" s="220" t="str">
        <f t="shared" si="71"/>
        <v>31/10/2008</v>
      </c>
      <c r="H785" s="221">
        <v>31</v>
      </c>
      <c r="I785" s="221">
        <v>10</v>
      </c>
      <c r="J785" s="221">
        <v>2008</v>
      </c>
      <c r="K785" s="221" t="s">
        <v>37</v>
      </c>
      <c r="L785" s="226"/>
      <c r="M785" s="221" t="s">
        <v>869</v>
      </c>
      <c r="N785" s="224">
        <v>7006.88</v>
      </c>
      <c r="O785" s="224"/>
      <c r="Q785" s="221">
        <v>10</v>
      </c>
      <c r="R785" s="112">
        <f t="shared" si="73"/>
        <v>58.382333333333328</v>
      </c>
      <c r="S785" s="223">
        <f t="shared" si="70"/>
        <v>3794.8516666666665</v>
      </c>
      <c r="T785" s="223">
        <f t="shared" si="74"/>
        <v>3212.0283333333336</v>
      </c>
      <c r="U785" s="221">
        <v>11658</v>
      </c>
      <c r="V785" s="233"/>
      <c r="W785" s="223"/>
      <c r="X785" s="196">
        <f t="shared" si="72"/>
        <v>65</v>
      </c>
    </row>
    <row r="786" spans="1:24" s="221" customFormat="1">
      <c r="A786" s="221" t="s">
        <v>983</v>
      </c>
      <c r="B786" s="195" t="s">
        <v>969</v>
      </c>
      <c r="E786" s="226"/>
      <c r="F786" s="226" t="s">
        <v>968</v>
      </c>
      <c r="G786" s="220" t="str">
        <f t="shared" si="71"/>
        <v>31/10/2008</v>
      </c>
      <c r="H786" s="221">
        <v>31</v>
      </c>
      <c r="I786" s="221">
        <v>10</v>
      </c>
      <c r="J786" s="221">
        <v>2008</v>
      </c>
      <c r="K786" s="221" t="s">
        <v>37</v>
      </c>
      <c r="L786" s="226"/>
      <c r="M786" s="221" t="s">
        <v>869</v>
      </c>
      <c r="N786" s="224">
        <v>7006.88</v>
      </c>
      <c r="O786" s="224"/>
      <c r="Q786" s="221">
        <v>10</v>
      </c>
      <c r="R786" s="112">
        <f t="shared" si="73"/>
        <v>58.382333333333328</v>
      </c>
      <c r="S786" s="223">
        <f t="shared" si="70"/>
        <v>3794.8516666666665</v>
      </c>
      <c r="T786" s="223">
        <f t="shared" si="74"/>
        <v>3212.0283333333336</v>
      </c>
      <c r="U786" s="221">
        <v>11658</v>
      </c>
      <c r="V786" s="233"/>
      <c r="W786" s="223"/>
      <c r="X786" s="196">
        <f t="shared" si="72"/>
        <v>65</v>
      </c>
    </row>
    <row r="787" spans="1:24" s="221" customFormat="1">
      <c r="A787" s="221" t="s">
        <v>982</v>
      </c>
      <c r="B787" s="195" t="s">
        <v>969</v>
      </c>
      <c r="E787" s="226"/>
      <c r="F787" s="226" t="s">
        <v>968</v>
      </c>
      <c r="G787" s="220" t="str">
        <f t="shared" si="71"/>
        <v>31/10/2008</v>
      </c>
      <c r="H787" s="221">
        <v>31</v>
      </c>
      <c r="I787" s="221">
        <v>10</v>
      </c>
      <c r="J787" s="221">
        <v>2008</v>
      </c>
      <c r="K787" s="221" t="s">
        <v>37</v>
      </c>
      <c r="L787" s="226"/>
      <c r="M787" s="221" t="s">
        <v>869</v>
      </c>
      <c r="N787" s="224">
        <v>7006.88</v>
      </c>
      <c r="O787" s="224"/>
      <c r="Q787" s="221">
        <v>10</v>
      </c>
      <c r="R787" s="112">
        <f t="shared" si="73"/>
        <v>58.382333333333328</v>
      </c>
      <c r="S787" s="223">
        <f t="shared" si="70"/>
        <v>3794.8516666666665</v>
      </c>
      <c r="T787" s="223">
        <f t="shared" si="74"/>
        <v>3212.0283333333336</v>
      </c>
      <c r="U787" s="221">
        <v>11658</v>
      </c>
      <c r="V787" s="233"/>
      <c r="W787" s="223"/>
      <c r="X787" s="196">
        <f t="shared" si="72"/>
        <v>65</v>
      </c>
    </row>
    <row r="788" spans="1:24" s="221" customFormat="1">
      <c r="A788" s="221" t="s">
        <v>981</v>
      </c>
      <c r="B788" s="195" t="s">
        <v>969</v>
      </c>
      <c r="E788" s="226"/>
      <c r="F788" s="226" t="s">
        <v>968</v>
      </c>
      <c r="G788" s="220" t="str">
        <f t="shared" si="71"/>
        <v>31/10/2008</v>
      </c>
      <c r="H788" s="221">
        <v>31</v>
      </c>
      <c r="I788" s="221">
        <v>10</v>
      </c>
      <c r="J788" s="221">
        <v>2008</v>
      </c>
      <c r="K788" s="221" t="s">
        <v>37</v>
      </c>
      <c r="L788" s="226"/>
      <c r="M788" s="221" t="s">
        <v>869</v>
      </c>
      <c r="N788" s="224">
        <v>7006.88</v>
      </c>
      <c r="O788" s="224"/>
      <c r="Q788" s="221">
        <v>10</v>
      </c>
      <c r="R788" s="112">
        <f t="shared" si="73"/>
        <v>58.382333333333328</v>
      </c>
      <c r="S788" s="223">
        <f t="shared" si="70"/>
        <v>3794.8516666666665</v>
      </c>
      <c r="T788" s="223">
        <f t="shared" si="74"/>
        <v>3212.0283333333336</v>
      </c>
      <c r="U788" s="221">
        <v>11658</v>
      </c>
      <c r="V788" s="233"/>
      <c r="W788" s="223"/>
      <c r="X788" s="196">
        <f t="shared" si="72"/>
        <v>65</v>
      </c>
    </row>
    <row r="789" spans="1:24" s="221" customFormat="1">
      <c r="A789" s="221" t="s">
        <v>980</v>
      </c>
      <c r="B789" s="195" t="s">
        <v>969</v>
      </c>
      <c r="E789" s="226"/>
      <c r="F789" s="226" t="s">
        <v>968</v>
      </c>
      <c r="G789" s="220" t="str">
        <f t="shared" si="71"/>
        <v>31/10/2008</v>
      </c>
      <c r="H789" s="221">
        <v>31</v>
      </c>
      <c r="I789" s="221">
        <v>10</v>
      </c>
      <c r="J789" s="221">
        <v>2008</v>
      </c>
      <c r="K789" s="221" t="s">
        <v>37</v>
      </c>
      <c r="L789" s="226"/>
      <c r="M789" s="221" t="s">
        <v>869</v>
      </c>
      <c r="N789" s="224">
        <v>7006.88</v>
      </c>
      <c r="O789" s="224"/>
      <c r="Q789" s="221">
        <v>10</v>
      </c>
      <c r="R789" s="112">
        <f t="shared" si="73"/>
        <v>58.382333333333328</v>
      </c>
      <c r="S789" s="223">
        <f t="shared" si="70"/>
        <v>3794.8516666666665</v>
      </c>
      <c r="T789" s="223">
        <f t="shared" si="74"/>
        <v>3212.0283333333336</v>
      </c>
      <c r="U789" s="221">
        <v>11658</v>
      </c>
      <c r="V789" s="233"/>
      <c r="W789" s="223"/>
      <c r="X789" s="196">
        <f t="shared" si="72"/>
        <v>65</v>
      </c>
    </row>
    <row r="790" spans="1:24" s="221" customFormat="1">
      <c r="A790" s="221" t="s">
        <v>979</v>
      </c>
      <c r="B790" s="195" t="s">
        <v>969</v>
      </c>
      <c r="E790" s="226"/>
      <c r="F790" s="226" t="s">
        <v>968</v>
      </c>
      <c r="G790" s="220" t="str">
        <f t="shared" si="71"/>
        <v>31/10/2008</v>
      </c>
      <c r="H790" s="221">
        <v>31</v>
      </c>
      <c r="I790" s="221">
        <v>10</v>
      </c>
      <c r="J790" s="221">
        <v>2008</v>
      </c>
      <c r="K790" s="221" t="s">
        <v>37</v>
      </c>
      <c r="L790" s="226"/>
      <c r="M790" s="221" t="s">
        <v>869</v>
      </c>
      <c r="N790" s="224">
        <v>7006.88</v>
      </c>
      <c r="O790" s="224"/>
      <c r="Q790" s="221">
        <v>10</v>
      </c>
      <c r="R790" s="112">
        <f t="shared" si="73"/>
        <v>58.382333333333328</v>
      </c>
      <c r="S790" s="223">
        <f t="shared" si="70"/>
        <v>3794.8516666666665</v>
      </c>
      <c r="T790" s="223">
        <f t="shared" si="74"/>
        <v>3212.0283333333336</v>
      </c>
      <c r="U790" s="221">
        <v>11658</v>
      </c>
      <c r="V790" s="233"/>
      <c r="W790" s="223"/>
      <c r="X790" s="196">
        <f t="shared" si="72"/>
        <v>65</v>
      </c>
    </row>
    <row r="791" spans="1:24" s="221" customFormat="1">
      <c r="A791" s="221" t="s">
        <v>978</v>
      </c>
      <c r="B791" s="195" t="s">
        <v>969</v>
      </c>
      <c r="E791" s="226"/>
      <c r="F791" s="226" t="s">
        <v>968</v>
      </c>
      <c r="G791" s="220" t="str">
        <f t="shared" si="71"/>
        <v>31/10/2008</v>
      </c>
      <c r="H791" s="221">
        <v>31</v>
      </c>
      <c r="I791" s="221">
        <v>10</v>
      </c>
      <c r="J791" s="221">
        <v>2008</v>
      </c>
      <c r="K791" s="221" t="s">
        <v>37</v>
      </c>
      <c r="L791" s="226"/>
      <c r="M791" s="221" t="s">
        <v>869</v>
      </c>
      <c r="N791" s="224">
        <v>7006.88</v>
      </c>
      <c r="O791" s="224"/>
      <c r="Q791" s="221">
        <v>10</v>
      </c>
      <c r="R791" s="112">
        <f t="shared" si="73"/>
        <v>58.382333333333328</v>
      </c>
      <c r="S791" s="223">
        <f t="shared" si="70"/>
        <v>3794.8516666666665</v>
      </c>
      <c r="T791" s="223">
        <f t="shared" si="74"/>
        <v>3212.0283333333336</v>
      </c>
      <c r="U791" s="221">
        <v>11658</v>
      </c>
      <c r="V791" s="233"/>
      <c r="W791" s="223"/>
      <c r="X791" s="196">
        <f t="shared" si="72"/>
        <v>65</v>
      </c>
    </row>
    <row r="792" spans="1:24" s="221" customFormat="1">
      <c r="A792" s="221" t="s">
        <v>977</v>
      </c>
      <c r="B792" s="195" t="s">
        <v>969</v>
      </c>
      <c r="E792" s="226"/>
      <c r="F792" s="226" t="s">
        <v>968</v>
      </c>
      <c r="G792" s="220" t="str">
        <f t="shared" si="71"/>
        <v>31/10/2008</v>
      </c>
      <c r="H792" s="221">
        <v>31</v>
      </c>
      <c r="I792" s="221">
        <v>10</v>
      </c>
      <c r="J792" s="221">
        <v>2008</v>
      </c>
      <c r="K792" s="221" t="s">
        <v>37</v>
      </c>
      <c r="L792" s="226"/>
      <c r="M792" s="221" t="s">
        <v>869</v>
      </c>
      <c r="N792" s="224">
        <v>7006.88</v>
      </c>
      <c r="O792" s="224"/>
      <c r="Q792" s="221">
        <v>10</v>
      </c>
      <c r="R792" s="112">
        <f t="shared" si="73"/>
        <v>58.382333333333328</v>
      </c>
      <c r="S792" s="223">
        <f t="shared" si="70"/>
        <v>3794.8516666666665</v>
      </c>
      <c r="T792" s="223">
        <f t="shared" si="74"/>
        <v>3212.0283333333336</v>
      </c>
      <c r="U792" s="221">
        <v>11658</v>
      </c>
      <c r="V792" s="233"/>
      <c r="W792" s="223"/>
      <c r="X792" s="196">
        <f t="shared" si="72"/>
        <v>65</v>
      </c>
    </row>
    <row r="793" spans="1:24" s="221" customFormat="1">
      <c r="A793" s="221" t="s">
        <v>976</v>
      </c>
      <c r="B793" s="195" t="s">
        <v>969</v>
      </c>
      <c r="E793" s="226"/>
      <c r="F793" s="226" t="s">
        <v>968</v>
      </c>
      <c r="G793" s="220" t="str">
        <f t="shared" si="71"/>
        <v>31/10/2008</v>
      </c>
      <c r="H793" s="221">
        <v>31</v>
      </c>
      <c r="I793" s="221">
        <v>10</v>
      </c>
      <c r="J793" s="221">
        <v>2008</v>
      </c>
      <c r="K793" s="221" t="s">
        <v>37</v>
      </c>
      <c r="L793" s="226"/>
      <c r="M793" s="221" t="s">
        <v>869</v>
      </c>
      <c r="N793" s="224">
        <v>7006.88</v>
      </c>
      <c r="O793" s="224"/>
      <c r="Q793" s="221">
        <v>10</v>
      </c>
      <c r="R793" s="112">
        <f t="shared" si="73"/>
        <v>58.382333333333328</v>
      </c>
      <c r="S793" s="223">
        <f t="shared" si="70"/>
        <v>3794.8516666666665</v>
      </c>
      <c r="T793" s="223">
        <f t="shared" si="74"/>
        <v>3212.0283333333336</v>
      </c>
      <c r="U793" s="221">
        <v>11658</v>
      </c>
      <c r="V793" s="233"/>
      <c r="W793" s="223"/>
      <c r="X793" s="196">
        <f t="shared" si="72"/>
        <v>65</v>
      </c>
    </row>
    <row r="794" spans="1:24" s="221" customFormat="1">
      <c r="A794" s="221" t="s">
        <v>975</v>
      </c>
      <c r="B794" s="195" t="s">
        <v>969</v>
      </c>
      <c r="E794" s="226"/>
      <c r="F794" s="226" t="s">
        <v>968</v>
      </c>
      <c r="G794" s="220" t="str">
        <f t="shared" si="71"/>
        <v>31/10/2008</v>
      </c>
      <c r="H794" s="221">
        <v>31</v>
      </c>
      <c r="I794" s="221">
        <v>10</v>
      </c>
      <c r="J794" s="221">
        <v>2008</v>
      </c>
      <c r="K794" s="221" t="s">
        <v>37</v>
      </c>
      <c r="L794" s="226"/>
      <c r="M794" s="221" t="s">
        <v>869</v>
      </c>
      <c r="N794" s="224">
        <v>7006.88</v>
      </c>
      <c r="O794" s="224"/>
      <c r="Q794" s="221">
        <v>10</v>
      </c>
      <c r="R794" s="112">
        <f t="shared" si="73"/>
        <v>58.382333333333328</v>
      </c>
      <c r="S794" s="223">
        <f t="shared" si="70"/>
        <v>3794.8516666666665</v>
      </c>
      <c r="T794" s="223">
        <f t="shared" si="74"/>
        <v>3212.0283333333336</v>
      </c>
      <c r="U794" s="221">
        <v>11658</v>
      </c>
      <c r="V794" s="233"/>
      <c r="W794" s="223"/>
      <c r="X794" s="196">
        <f t="shared" si="72"/>
        <v>65</v>
      </c>
    </row>
    <row r="795" spans="1:24" s="221" customFormat="1">
      <c r="A795" s="221" t="s">
        <v>974</v>
      </c>
      <c r="B795" s="195" t="s">
        <v>969</v>
      </c>
      <c r="E795" s="226"/>
      <c r="F795" s="226" t="s">
        <v>968</v>
      </c>
      <c r="G795" s="220" t="str">
        <f t="shared" si="71"/>
        <v>31/10/2008</v>
      </c>
      <c r="H795" s="221">
        <v>31</v>
      </c>
      <c r="I795" s="221">
        <v>10</v>
      </c>
      <c r="J795" s="221">
        <v>2008</v>
      </c>
      <c r="K795" s="221" t="s">
        <v>37</v>
      </c>
      <c r="L795" s="226"/>
      <c r="M795" s="221" t="s">
        <v>869</v>
      </c>
      <c r="N795" s="224">
        <v>7006.88</v>
      </c>
      <c r="O795" s="224"/>
      <c r="Q795" s="221">
        <v>10</v>
      </c>
      <c r="R795" s="112">
        <f t="shared" si="73"/>
        <v>58.382333333333328</v>
      </c>
      <c r="S795" s="223">
        <f t="shared" si="70"/>
        <v>3794.8516666666665</v>
      </c>
      <c r="T795" s="223">
        <f t="shared" si="74"/>
        <v>3212.0283333333336</v>
      </c>
      <c r="U795" s="221">
        <v>11658</v>
      </c>
      <c r="V795" s="233"/>
      <c r="W795" s="223"/>
      <c r="X795" s="196">
        <f t="shared" si="72"/>
        <v>65</v>
      </c>
    </row>
    <row r="796" spans="1:24" s="221" customFormat="1">
      <c r="A796" s="221" t="s">
        <v>973</v>
      </c>
      <c r="B796" s="195" t="s">
        <v>969</v>
      </c>
      <c r="E796" s="226"/>
      <c r="F796" s="226" t="s">
        <v>968</v>
      </c>
      <c r="G796" s="220" t="str">
        <f t="shared" si="71"/>
        <v>31/10/2008</v>
      </c>
      <c r="H796" s="221">
        <v>31</v>
      </c>
      <c r="I796" s="221">
        <v>10</v>
      </c>
      <c r="J796" s="221">
        <v>2008</v>
      </c>
      <c r="K796" s="221" t="s">
        <v>37</v>
      </c>
      <c r="L796" s="226"/>
      <c r="M796" s="221" t="s">
        <v>869</v>
      </c>
      <c r="N796" s="224">
        <v>7006.88</v>
      </c>
      <c r="O796" s="224"/>
      <c r="Q796" s="221">
        <v>10</v>
      </c>
      <c r="R796" s="112">
        <f t="shared" si="73"/>
        <v>58.382333333333328</v>
      </c>
      <c r="S796" s="223">
        <f t="shared" si="70"/>
        <v>3794.8516666666665</v>
      </c>
      <c r="T796" s="223">
        <f t="shared" si="74"/>
        <v>3212.0283333333336</v>
      </c>
      <c r="U796" s="221">
        <v>11658</v>
      </c>
      <c r="V796" s="233"/>
      <c r="W796" s="223"/>
      <c r="X796" s="196">
        <f t="shared" si="72"/>
        <v>65</v>
      </c>
    </row>
    <row r="797" spans="1:24" s="221" customFormat="1">
      <c r="A797" s="221" t="s">
        <v>972</v>
      </c>
      <c r="B797" s="195" t="s">
        <v>969</v>
      </c>
      <c r="E797" s="226"/>
      <c r="F797" s="226" t="s">
        <v>968</v>
      </c>
      <c r="G797" s="220" t="str">
        <f t="shared" si="71"/>
        <v>31/10/2008</v>
      </c>
      <c r="H797" s="221">
        <v>31</v>
      </c>
      <c r="I797" s="221">
        <v>10</v>
      </c>
      <c r="J797" s="221">
        <v>2008</v>
      </c>
      <c r="K797" s="221" t="s">
        <v>37</v>
      </c>
      <c r="L797" s="226"/>
      <c r="M797" s="221" t="s">
        <v>869</v>
      </c>
      <c r="N797" s="224">
        <v>7006.88</v>
      </c>
      <c r="O797" s="224"/>
      <c r="Q797" s="221">
        <v>10</v>
      </c>
      <c r="R797" s="112">
        <f t="shared" si="73"/>
        <v>58.382333333333328</v>
      </c>
      <c r="S797" s="223">
        <f t="shared" si="70"/>
        <v>3794.8516666666665</v>
      </c>
      <c r="T797" s="223">
        <f t="shared" si="74"/>
        <v>3212.0283333333336</v>
      </c>
      <c r="U797" s="221">
        <v>11658</v>
      </c>
      <c r="V797" s="233"/>
      <c r="W797" s="223"/>
      <c r="X797" s="196">
        <f t="shared" si="72"/>
        <v>65</v>
      </c>
    </row>
    <row r="798" spans="1:24" s="221" customFormat="1">
      <c r="A798" s="221" t="s">
        <v>971</v>
      </c>
      <c r="B798" s="195" t="s">
        <v>969</v>
      </c>
      <c r="E798" s="226"/>
      <c r="F798" s="226" t="s">
        <v>968</v>
      </c>
      <c r="G798" s="220" t="str">
        <f t="shared" si="71"/>
        <v>31/10/2008</v>
      </c>
      <c r="H798" s="221">
        <v>31</v>
      </c>
      <c r="I798" s="221">
        <v>10</v>
      </c>
      <c r="J798" s="221">
        <v>2008</v>
      </c>
      <c r="K798" s="221" t="s">
        <v>37</v>
      </c>
      <c r="L798" s="226"/>
      <c r="M798" s="221" t="s">
        <v>869</v>
      </c>
      <c r="N798" s="224">
        <v>7006.88</v>
      </c>
      <c r="O798" s="224"/>
      <c r="Q798" s="221">
        <v>10</v>
      </c>
      <c r="R798" s="112">
        <f t="shared" si="73"/>
        <v>58.382333333333328</v>
      </c>
      <c r="S798" s="223">
        <f t="shared" si="70"/>
        <v>3794.8516666666665</v>
      </c>
      <c r="T798" s="223">
        <f t="shared" si="74"/>
        <v>3212.0283333333336</v>
      </c>
      <c r="U798" s="221">
        <v>11658</v>
      </c>
      <c r="V798" s="233"/>
      <c r="W798" s="223"/>
      <c r="X798" s="196">
        <f t="shared" si="72"/>
        <v>65</v>
      </c>
    </row>
    <row r="799" spans="1:24" s="221" customFormat="1">
      <c r="A799" s="221" t="s">
        <v>970</v>
      </c>
      <c r="B799" s="195" t="s">
        <v>969</v>
      </c>
      <c r="E799" s="226"/>
      <c r="F799" s="226" t="s">
        <v>968</v>
      </c>
      <c r="G799" s="220" t="str">
        <f t="shared" si="71"/>
        <v>31/10/2008</v>
      </c>
      <c r="H799" s="221">
        <v>31</v>
      </c>
      <c r="I799" s="221">
        <v>10</v>
      </c>
      <c r="J799" s="221">
        <v>2008</v>
      </c>
      <c r="K799" s="221" t="s">
        <v>37</v>
      </c>
      <c r="L799" s="226"/>
      <c r="M799" s="221" t="s">
        <v>869</v>
      </c>
      <c r="N799" s="224">
        <v>7006.88</v>
      </c>
      <c r="O799" s="224"/>
      <c r="Q799" s="221">
        <v>10</v>
      </c>
      <c r="R799" s="112">
        <f t="shared" si="73"/>
        <v>58.382333333333328</v>
      </c>
      <c r="S799" s="223">
        <f t="shared" si="70"/>
        <v>3794.8516666666665</v>
      </c>
      <c r="T799" s="223">
        <f t="shared" si="74"/>
        <v>3212.0283333333336</v>
      </c>
      <c r="U799" s="221">
        <v>11658</v>
      </c>
      <c r="V799" s="233"/>
      <c r="W799" s="223"/>
      <c r="X799" s="196">
        <f t="shared" si="72"/>
        <v>65</v>
      </c>
    </row>
    <row r="800" spans="1:24" s="221" customFormat="1">
      <c r="A800" s="474"/>
      <c r="B800" s="474" t="s">
        <v>967</v>
      </c>
      <c r="C800" s="474"/>
      <c r="D800" s="474"/>
      <c r="E800" s="469"/>
      <c r="F800" s="469"/>
      <c r="G800" s="470">
        <v>39868</v>
      </c>
      <c r="H800" s="474"/>
      <c r="I800" s="474"/>
      <c r="J800" s="474"/>
      <c r="K800" s="474"/>
      <c r="L800" s="469"/>
      <c r="M800" s="474" t="s">
        <v>869</v>
      </c>
      <c r="N800" s="477">
        <v>10475</v>
      </c>
      <c r="O800" s="230"/>
      <c r="Q800" s="474">
        <v>10</v>
      </c>
      <c r="R800" s="475">
        <f t="shared" si="73"/>
        <v>87.283333333333346</v>
      </c>
      <c r="S800" s="476">
        <f t="shared" si="70"/>
        <v>5411.5666666666675</v>
      </c>
      <c r="T800" s="476">
        <f t="shared" si="74"/>
        <v>5063.4333333333325</v>
      </c>
      <c r="W800" s="223"/>
      <c r="X800" s="236">
        <f t="shared" si="72"/>
        <v>62</v>
      </c>
    </row>
    <row r="801" spans="1:24" s="221" customFormat="1">
      <c r="A801" s="474"/>
      <c r="B801" s="474" t="s">
        <v>966</v>
      </c>
      <c r="C801" s="474"/>
      <c r="D801" s="474"/>
      <c r="E801" s="469"/>
      <c r="F801" s="469"/>
      <c r="G801" s="470">
        <v>39840</v>
      </c>
      <c r="H801" s="474"/>
      <c r="I801" s="474"/>
      <c r="J801" s="474"/>
      <c r="K801" s="474"/>
      <c r="L801" s="469"/>
      <c r="M801" s="474" t="s">
        <v>869</v>
      </c>
      <c r="N801" s="477">
        <v>11758.13</v>
      </c>
      <c r="O801" s="230"/>
      <c r="Q801" s="474">
        <v>10</v>
      </c>
      <c r="R801" s="475">
        <f t="shared" si="73"/>
        <v>97.976083333333335</v>
      </c>
      <c r="S801" s="476">
        <f t="shared" si="70"/>
        <v>6172.4932500000004</v>
      </c>
      <c r="T801" s="476">
        <f t="shared" si="74"/>
        <v>5585.6367499999988</v>
      </c>
      <c r="W801" s="223"/>
      <c r="X801" s="236">
        <f t="shared" si="72"/>
        <v>63</v>
      </c>
    </row>
    <row r="802" spans="1:24" s="221" customFormat="1">
      <c r="B802" s="221" t="s">
        <v>965</v>
      </c>
      <c r="C802" s="221" t="s">
        <v>964</v>
      </c>
      <c r="E802" s="226"/>
      <c r="F802" s="226" t="s">
        <v>89</v>
      </c>
      <c r="G802" s="220" t="str">
        <f t="shared" si="71"/>
        <v>27/5/2009</v>
      </c>
      <c r="H802" s="221">
        <v>27</v>
      </c>
      <c r="I802" s="221">
        <v>5</v>
      </c>
      <c r="J802" s="221">
        <v>2009</v>
      </c>
      <c r="K802" s="221" t="s">
        <v>54</v>
      </c>
      <c r="L802" s="226">
        <v>100015762</v>
      </c>
      <c r="M802" s="221" t="s">
        <v>869</v>
      </c>
      <c r="N802" s="230">
        <v>2295</v>
      </c>
      <c r="O802" s="230"/>
      <c r="Q802" s="221">
        <v>10</v>
      </c>
      <c r="R802" s="112">
        <f t="shared" si="73"/>
        <v>19.116666666666667</v>
      </c>
      <c r="S802" s="223">
        <f t="shared" si="70"/>
        <v>1127.8833333333334</v>
      </c>
      <c r="T802" s="223">
        <f t="shared" ref="T802:T852" si="75">N802-S802</f>
        <v>1167.1166666666666</v>
      </c>
      <c r="W802" s="223"/>
      <c r="X802" s="196">
        <f t="shared" si="72"/>
        <v>59</v>
      </c>
    </row>
    <row r="803" spans="1:24" s="221" customFormat="1">
      <c r="B803" s="221" t="s">
        <v>965</v>
      </c>
      <c r="C803" s="221" t="s">
        <v>964</v>
      </c>
      <c r="E803" s="226"/>
      <c r="F803" s="226" t="s">
        <v>89</v>
      </c>
      <c r="G803" s="220" t="str">
        <f t="shared" si="71"/>
        <v>27/5/2009</v>
      </c>
      <c r="H803" s="221">
        <v>27</v>
      </c>
      <c r="I803" s="221">
        <v>5</v>
      </c>
      <c r="J803" s="221">
        <v>2009</v>
      </c>
      <c r="K803" s="221" t="s">
        <v>54</v>
      </c>
      <c r="L803" s="226">
        <v>100015761</v>
      </c>
      <c r="M803" s="221" t="s">
        <v>869</v>
      </c>
      <c r="N803" s="230">
        <v>2295</v>
      </c>
      <c r="O803" s="230"/>
      <c r="Q803" s="221">
        <v>10</v>
      </c>
      <c r="R803" s="112">
        <f t="shared" si="73"/>
        <v>19.116666666666667</v>
      </c>
      <c r="S803" s="223">
        <f t="shared" si="70"/>
        <v>1127.8833333333334</v>
      </c>
      <c r="T803" s="223">
        <f t="shared" si="75"/>
        <v>1167.1166666666666</v>
      </c>
      <c r="W803" s="223"/>
      <c r="X803" s="196">
        <f t="shared" si="72"/>
        <v>59</v>
      </c>
    </row>
    <row r="804" spans="1:24" s="221" customFormat="1" ht="31.5">
      <c r="B804" s="204" t="s">
        <v>963</v>
      </c>
      <c r="E804" s="226"/>
      <c r="F804" s="226" t="s">
        <v>962</v>
      </c>
      <c r="G804" s="220" t="str">
        <f t="shared" si="71"/>
        <v>10/11/2009</v>
      </c>
      <c r="H804" s="221">
        <v>10</v>
      </c>
      <c r="I804" s="221">
        <v>11</v>
      </c>
      <c r="J804" s="221">
        <v>2009</v>
      </c>
      <c r="K804" s="221" t="s">
        <v>54</v>
      </c>
      <c r="L804" s="226">
        <v>72257</v>
      </c>
      <c r="M804" s="221" t="s">
        <v>869</v>
      </c>
      <c r="N804" s="230">
        <v>5808.35</v>
      </c>
      <c r="O804" s="230"/>
      <c r="P804" s="232"/>
      <c r="Q804" s="221">
        <v>10</v>
      </c>
      <c r="R804" s="112">
        <f t="shared" si="73"/>
        <v>48.394583333333337</v>
      </c>
      <c r="S804" s="223">
        <f t="shared" si="70"/>
        <v>2564.9129166666667</v>
      </c>
      <c r="T804" s="223">
        <f t="shared" si="75"/>
        <v>3243.4370833333337</v>
      </c>
      <c r="W804" s="223"/>
      <c r="X804" s="196">
        <f t="shared" si="72"/>
        <v>53</v>
      </c>
    </row>
    <row r="805" spans="1:24" s="221" customFormat="1" ht="31.5">
      <c r="B805" s="204" t="s">
        <v>963</v>
      </c>
      <c r="E805" s="226"/>
      <c r="F805" s="226" t="s">
        <v>962</v>
      </c>
      <c r="G805" s="220" t="str">
        <f t="shared" si="71"/>
        <v>10/11/2009</v>
      </c>
      <c r="H805" s="221">
        <v>10</v>
      </c>
      <c r="I805" s="221">
        <v>11</v>
      </c>
      <c r="J805" s="221">
        <v>2009</v>
      </c>
      <c r="K805" s="221" t="s">
        <v>54</v>
      </c>
      <c r="L805" s="226">
        <v>72257</v>
      </c>
      <c r="M805" s="221" t="s">
        <v>869</v>
      </c>
      <c r="N805" s="230">
        <v>5808.35</v>
      </c>
      <c r="O805" s="230"/>
      <c r="P805" s="231"/>
      <c r="Q805" s="221">
        <v>10</v>
      </c>
      <c r="R805" s="112">
        <f t="shared" si="73"/>
        <v>48.394583333333337</v>
      </c>
      <c r="S805" s="223">
        <f t="shared" si="70"/>
        <v>2564.9129166666667</v>
      </c>
      <c r="T805" s="223">
        <f t="shared" si="75"/>
        <v>3243.4370833333337</v>
      </c>
      <c r="W805" s="223"/>
      <c r="X805" s="196">
        <f t="shared" si="72"/>
        <v>53</v>
      </c>
    </row>
    <row r="806" spans="1:24" s="221" customFormat="1" ht="31.5">
      <c r="B806" s="204" t="s">
        <v>963</v>
      </c>
      <c r="E806" s="226"/>
      <c r="F806" s="226" t="s">
        <v>962</v>
      </c>
      <c r="G806" s="220" t="str">
        <f t="shared" si="71"/>
        <v>10/11/2009</v>
      </c>
      <c r="H806" s="221">
        <v>10</v>
      </c>
      <c r="I806" s="221">
        <v>11</v>
      </c>
      <c r="J806" s="221">
        <v>2009</v>
      </c>
      <c r="K806" s="221" t="s">
        <v>54</v>
      </c>
      <c r="L806" s="226">
        <v>72257</v>
      </c>
      <c r="M806" s="221" t="s">
        <v>869</v>
      </c>
      <c r="N806" s="230">
        <v>5808.35</v>
      </c>
      <c r="O806" s="230"/>
      <c r="Q806" s="221">
        <v>10</v>
      </c>
      <c r="R806" s="112">
        <f t="shared" si="73"/>
        <v>48.394583333333337</v>
      </c>
      <c r="S806" s="223">
        <f t="shared" si="70"/>
        <v>2564.9129166666667</v>
      </c>
      <c r="T806" s="223">
        <f t="shared" si="75"/>
        <v>3243.4370833333337</v>
      </c>
      <c r="W806" s="223"/>
      <c r="X806" s="196">
        <f t="shared" si="72"/>
        <v>53</v>
      </c>
    </row>
    <row r="807" spans="1:24" s="221" customFormat="1" ht="31.5">
      <c r="B807" s="204" t="s">
        <v>963</v>
      </c>
      <c r="E807" s="226"/>
      <c r="F807" s="226" t="s">
        <v>962</v>
      </c>
      <c r="G807" s="220" t="str">
        <f t="shared" si="71"/>
        <v>10/11/2009</v>
      </c>
      <c r="H807" s="221">
        <v>10</v>
      </c>
      <c r="I807" s="221">
        <v>11</v>
      </c>
      <c r="J807" s="221">
        <v>2009</v>
      </c>
      <c r="K807" s="221" t="s">
        <v>54</v>
      </c>
      <c r="L807" s="226">
        <v>72257</v>
      </c>
      <c r="M807" s="221" t="s">
        <v>869</v>
      </c>
      <c r="N807" s="230">
        <v>5808.35</v>
      </c>
      <c r="O807" s="230"/>
      <c r="Q807" s="221">
        <v>10</v>
      </c>
      <c r="R807" s="112">
        <f t="shared" si="73"/>
        <v>48.394583333333337</v>
      </c>
      <c r="S807" s="223">
        <f t="shared" si="70"/>
        <v>2564.9129166666667</v>
      </c>
      <c r="T807" s="223">
        <f t="shared" si="75"/>
        <v>3243.4370833333337</v>
      </c>
      <c r="W807" s="223"/>
      <c r="X807" s="196">
        <f t="shared" si="72"/>
        <v>53</v>
      </c>
    </row>
    <row r="808" spans="1:24" s="221" customFormat="1" ht="31.5">
      <c r="B808" s="204" t="s">
        <v>963</v>
      </c>
      <c r="E808" s="226"/>
      <c r="F808" s="226" t="s">
        <v>962</v>
      </c>
      <c r="G808" s="220" t="str">
        <f t="shared" si="71"/>
        <v>10/11/2009</v>
      </c>
      <c r="H808" s="221">
        <v>10</v>
      </c>
      <c r="I808" s="221">
        <v>11</v>
      </c>
      <c r="J808" s="221">
        <v>2009</v>
      </c>
      <c r="K808" s="221" t="s">
        <v>54</v>
      </c>
      <c r="L808" s="226">
        <v>72257</v>
      </c>
      <c r="M808" s="221" t="s">
        <v>869</v>
      </c>
      <c r="N808" s="230">
        <v>5808.35</v>
      </c>
      <c r="O808" s="230"/>
      <c r="Q808" s="221">
        <v>10</v>
      </c>
      <c r="R808" s="112">
        <f t="shared" si="73"/>
        <v>48.394583333333337</v>
      </c>
      <c r="S808" s="223">
        <f t="shared" si="70"/>
        <v>2564.9129166666667</v>
      </c>
      <c r="T808" s="223">
        <f t="shared" si="75"/>
        <v>3243.4370833333337</v>
      </c>
      <c r="W808" s="223"/>
      <c r="X808" s="196">
        <f t="shared" si="72"/>
        <v>53</v>
      </c>
    </row>
    <row r="809" spans="1:24" s="221" customFormat="1" ht="31.5">
      <c r="B809" s="204" t="s">
        <v>963</v>
      </c>
      <c r="E809" s="226"/>
      <c r="F809" s="226" t="s">
        <v>962</v>
      </c>
      <c r="G809" s="220" t="str">
        <f t="shared" si="71"/>
        <v>10/11/2009</v>
      </c>
      <c r="H809" s="221">
        <v>10</v>
      </c>
      <c r="I809" s="221">
        <v>11</v>
      </c>
      <c r="J809" s="221">
        <v>2009</v>
      </c>
      <c r="K809" s="221" t="s">
        <v>54</v>
      </c>
      <c r="L809" s="226">
        <v>72257</v>
      </c>
      <c r="M809" s="221" t="s">
        <v>869</v>
      </c>
      <c r="N809" s="230">
        <v>5808.35</v>
      </c>
      <c r="O809" s="230"/>
      <c r="Q809" s="221">
        <v>10</v>
      </c>
      <c r="R809" s="112">
        <f t="shared" si="73"/>
        <v>48.394583333333337</v>
      </c>
      <c r="S809" s="223">
        <f t="shared" si="70"/>
        <v>2564.9129166666667</v>
      </c>
      <c r="T809" s="223">
        <f t="shared" si="75"/>
        <v>3243.4370833333337</v>
      </c>
      <c r="W809" s="223"/>
      <c r="X809" s="196">
        <f t="shared" si="72"/>
        <v>53</v>
      </c>
    </row>
    <row r="810" spans="1:24" s="221" customFormat="1" ht="31.5">
      <c r="B810" s="204" t="s">
        <v>963</v>
      </c>
      <c r="E810" s="226"/>
      <c r="F810" s="226" t="s">
        <v>962</v>
      </c>
      <c r="G810" s="220" t="str">
        <f t="shared" si="71"/>
        <v>10/11/2009</v>
      </c>
      <c r="H810" s="221">
        <v>10</v>
      </c>
      <c r="I810" s="221">
        <v>11</v>
      </c>
      <c r="J810" s="221">
        <v>2009</v>
      </c>
      <c r="K810" s="221" t="s">
        <v>54</v>
      </c>
      <c r="L810" s="226">
        <v>72257</v>
      </c>
      <c r="M810" s="221" t="s">
        <v>869</v>
      </c>
      <c r="N810" s="230">
        <v>5808.35</v>
      </c>
      <c r="O810" s="230"/>
      <c r="Q810" s="221">
        <v>10</v>
      </c>
      <c r="R810" s="112">
        <f t="shared" si="73"/>
        <v>48.394583333333337</v>
      </c>
      <c r="S810" s="223">
        <f t="shared" si="70"/>
        <v>2564.9129166666667</v>
      </c>
      <c r="T810" s="223">
        <f t="shared" si="75"/>
        <v>3243.4370833333337</v>
      </c>
      <c r="W810" s="223"/>
      <c r="X810" s="196">
        <f t="shared" si="72"/>
        <v>53</v>
      </c>
    </row>
    <row r="811" spans="1:24" s="221" customFormat="1" ht="31.5">
      <c r="B811" s="204" t="s">
        <v>963</v>
      </c>
      <c r="E811" s="226"/>
      <c r="F811" s="226" t="s">
        <v>962</v>
      </c>
      <c r="G811" s="220" t="str">
        <f t="shared" si="71"/>
        <v>10/11/2009</v>
      </c>
      <c r="H811" s="221">
        <v>10</v>
      </c>
      <c r="I811" s="221">
        <v>11</v>
      </c>
      <c r="J811" s="221">
        <v>2009</v>
      </c>
      <c r="K811" s="221" t="s">
        <v>54</v>
      </c>
      <c r="L811" s="226">
        <v>72257</v>
      </c>
      <c r="M811" s="221" t="s">
        <v>869</v>
      </c>
      <c r="N811" s="230">
        <v>5808.35</v>
      </c>
      <c r="O811" s="230"/>
      <c r="Q811" s="221">
        <v>10</v>
      </c>
      <c r="R811" s="112">
        <f t="shared" si="73"/>
        <v>48.394583333333337</v>
      </c>
      <c r="S811" s="223">
        <f t="shared" si="70"/>
        <v>2564.9129166666667</v>
      </c>
      <c r="T811" s="223">
        <f t="shared" si="75"/>
        <v>3243.4370833333337</v>
      </c>
      <c r="W811" s="223"/>
      <c r="X811" s="196">
        <f t="shared" si="72"/>
        <v>53</v>
      </c>
    </row>
    <row r="812" spans="1:24" s="221" customFormat="1" ht="31.5">
      <c r="B812" s="204" t="s">
        <v>963</v>
      </c>
      <c r="E812" s="226"/>
      <c r="F812" s="226" t="s">
        <v>962</v>
      </c>
      <c r="G812" s="220" t="str">
        <f t="shared" si="71"/>
        <v>10/11/2009</v>
      </c>
      <c r="H812" s="221">
        <v>10</v>
      </c>
      <c r="I812" s="221">
        <v>11</v>
      </c>
      <c r="J812" s="221">
        <v>2009</v>
      </c>
      <c r="K812" s="221" t="s">
        <v>54</v>
      </c>
      <c r="L812" s="226">
        <v>72257</v>
      </c>
      <c r="M812" s="221" t="s">
        <v>869</v>
      </c>
      <c r="N812" s="230">
        <v>5808.35</v>
      </c>
      <c r="O812" s="230"/>
      <c r="Q812" s="221">
        <v>10</v>
      </c>
      <c r="R812" s="112">
        <f t="shared" si="73"/>
        <v>48.394583333333337</v>
      </c>
      <c r="S812" s="223">
        <f t="shared" si="70"/>
        <v>2564.9129166666667</v>
      </c>
      <c r="T812" s="223">
        <f t="shared" si="75"/>
        <v>3243.4370833333337</v>
      </c>
      <c r="W812" s="223"/>
      <c r="X812" s="196">
        <f t="shared" si="72"/>
        <v>53</v>
      </c>
    </row>
    <row r="813" spans="1:24" s="221" customFormat="1" ht="31.5">
      <c r="B813" s="204" t="s">
        <v>963</v>
      </c>
      <c r="E813" s="226"/>
      <c r="F813" s="226" t="s">
        <v>962</v>
      </c>
      <c r="G813" s="220" t="str">
        <f t="shared" si="71"/>
        <v>10/11/2009</v>
      </c>
      <c r="H813" s="221">
        <v>10</v>
      </c>
      <c r="I813" s="221">
        <v>11</v>
      </c>
      <c r="J813" s="221">
        <v>2009</v>
      </c>
      <c r="K813" s="221" t="s">
        <v>54</v>
      </c>
      <c r="L813" s="226">
        <v>72257</v>
      </c>
      <c r="M813" s="221" t="s">
        <v>869</v>
      </c>
      <c r="N813" s="230">
        <v>5808.35</v>
      </c>
      <c r="O813" s="230"/>
      <c r="Q813" s="221">
        <v>10</v>
      </c>
      <c r="R813" s="112">
        <f t="shared" si="73"/>
        <v>48.394583333333337</v>
      </c>
      <c r="S813" s="223">
        <f t="shared" si="70"/>
        <v>2564.9129166666667</v>
      </c>
      <c r="T813" s="223">
        <f t="shared" si="75"/>
        <v>3243.4370833333337</v>
      </c>
      <c r="W813" s="223"/>
      <c r="X813" s="196">
        <f t="shared" si="72"/>
        <v>53</v>
      </c>
    </row>
    <row r="814" spans="1:24" s="221" customFormat="1" ht="31.5">
      <c r="B814" s="204" t="s">
        <v>963</v>
      </c>
      <c r="E814" s="226"/>
      <c r="F814" s="226" t="s">
        <v>962</v>
      </c>
      <c r="G814" s="220" t="str">
        <f t="shared" si="71"/>
        <v>10/11/2009</v>
      </c>
      <c r="H814" s="221">
        <v>10</v>
      </c>
      <c r="I814" s="221">
        <v>11</v>
      </c>
      <c r="J814" s="221">
        <v>2009</v>
      </c>
      <c r="K814" s="221" t="s">
        <v>54</v>
      </c>
      <c r="L814" s="226">
        <v>72257</v>
      </c>
      <c r="M814" s="221" t="s">
        <v>869</v>
      </c>
      <c r="N814" s="230">
        <v>5808.35</v>
      </c>
      <c r="O814" s="230"/>
      <c r="Q814" s="221">
        <v>10</v>
      </c>
      <c r="R814" s="112">
        <f t="shared" si="73"/>
        <v>48.394583333333337</v>
      </c>
      <c r="S814" s="223">
        <f t="shared" si="70"/>
        <v>2564.9129166666667</v>
      </c>
      <c r="T814" s="223">
        <f t="shared" si="75"/>
        <v>3243.4370833333337</v>
      </c>
      <c r="W814" s="223"/>
      <c r="X814" s="196">
        <f t="shared" si="72"/>
        <v>53</v>
      </c>
    </row>
    <row r="815" spans="1:24" s="221" customFormat="1" ht="31.5">
      <c r="B815" s="204" t="s">
        <v>963</v>
      </c>
      <c r="E815" s="226"/>
      <c r="F815" s="226" t="s">
        <v>962</v>
      </c>
      <c r="G815" s="220" t="str">
        <f t="shared" si="71"/>
        <v>10/11/2009</v>
      </c>
      <c r="H815" s="221">
        <v>10</v>
      </c>
      <c r="I815" s="221">
        <v>11</v>
      </c>
      <c r="J815" s="221">
        <v>2009</v>
      </c>
      <c r="K815" s="221" t="s">
        <v>54</v>
      </c>
      <c r="L815" s="226">
        <v>72257</v>
      </c>
      <c r="M815" s="221" t="s">
        <v>869</v>
      </c>
      <c r="N815" s="230">
        <v>5808.37</v>
      </c>
      <c r="O815" s="230"/>
      <c r="P815" s="224"/>
      <c r="Q815" s="221">
        <v>10</v>
      </c>
      <c r="R815" s="112">
        <f t="shared" si="73"/>
        <v>48.394749999999995</v>
      </c>
      <c r="S815" s="223">
        <f t="shared" si="70"/>
        <v>2564.9217499999995</v>
      </c>
      <c r="T815" s="223">
        <f t="shared" si="75"/>
        <v>3243.4482500000004</v>
      </c>
      <c r="W815" s="223"/>
      <c r="X815" s="196">
        <f t="shared" si="72"/>
        <v>53</v>
      </c>
    </row>
    <row r="816" spans="1:24" s="221" customFormat="1">
      <c r="B816" s="221" t="s">
        <v>961</v>
      </c>
      <c r="C816" s="221" t="s">
        <v>484</v>
      </c>
      <c r="E816" s="226" t="s">
        <v>960</v>
      </c>
      <c r="F816" s="226" t="s">
        <v>959</v>
      </c>
      <c r="G816" s="220" t="str">
        <f t="shared" si="71"/>
        <v>14/6/2010</v>
      </c>
      <c r="H816" s="221">
        <v>14</v>
      </c>
      <c r="I816" s="221">
        <v>6</v>
      </c>
      <c r="J816" s="221">
        <v>2010</v>
      </c>
      <c r="K816" s="221" t="s">
        <v>54</v>
      </c>
      <c r="L816" s="226" t="s">
        <v>958</v>
      </c>
      <c r="M816" s="221" t="s">
        <v>869</v>
      </c>
      <c r="N816" s="229">
        <v>23950</v>
      </c>
      <c r="O816" s="229"/>
      <c r="Q816" s="221">
        <v>10</v>
      </c>
      <c r="R816" s="112">
        <f t="shared" si="73"/>
        <v>199.57500000000002</v>
      </c>
      <c r="S816" s="223">
        <f t="shared" si="70"/>
        <v>9180.4500000000007</v>
      </c>
      <c r="T816" s="223">
        <f t="shared" si="75"/>
        <v>14769.55</v>
      </c>
      <c r="W816" s="223"/>
      <c r="X816" s="196">
        <f t="shared" si="72"/>
        <v>46</v>
      </c>
    </row>
    <row r="817" spans="2:24" s="221" customFormat="1">
      <c r="B817" s="221" t="s">
        <v>961</v>
      </c>
      <c r="C817" s="221" t="s">
        <v>484</v>
      </c>
      <c r="E817" s="226" t="s">
        <v>960</v>
      </c>
      <c r="F817" s="226" t="s">
        <v>959</v>
      </c>
      <c r="G817" s="220" t="str">
        <f t="shared" si="71"/>
        <v>14/6/2010</v>
      </c>
      <c r="H817" s="221">
        <v>14</v>
      </c>
      <c r="I817" s="221">
        <v>6</v>
      </c>
      <c r="J817" s="221">
        <v>2010</v>
      </c>
      <c r="K817" s="221" t="s">
        <v>54</v>
      </c>
      <c r="L817" s="226" t="s">
        <v>958</v>
      </c>
      <c r="M817" s="221" t="s">
        <v>869</v>
      </c>
      <c r="N817" s="229">
        <v>23950</v>
      </c>
      <c r="O817" s="229"/>
      <c r="P817" s="224"/>
      <c r="Q817" s="221">
        <v>10</v>
      </c>
      <c r="R817" s="112">
        <f t="shared" si="73"/>
        <v>199.57500000000002</v>
      </c>
      <c r="S817" s="223">
        <f t="shared" ref="S817:S869" si="76">X817*R817</f>
        <v>9180.4500000000007</v>
      </c>
      <c r="T817" s="223">
        <f t="shared" si="75"/>
        <v>14769.55</v>
      </c>
      <c r="W817" s="223"/>
      <c r="X817" s="196">
        <f t="shared" si="72"/>
        <v>46</v>
      </c>
    </row>
    <row r="818" spans="2:24" s="221" customFormat="1">
      <c r="B818" s="221" t="s">
        <v>957</v>
      </c>
      <c r="C818" s="221" t="s">
        <v>956</v>
      </c>
      <c r="E818" s="226" t="s">
        <v>955</v>
      </c>
      <c r="F818" s="226" t="s">
        <v>89</v>
      </c>
      <c r="G818" s="220" t="str">
        <f t="shared" si="71"/>
        <v>14/6/2010</v>
      </c>
      <c r="H818" s="221">
        <v>14</v>
      </c>
      <c r="I818" s="221">
        <v>6</v>
      </c>
      <c r="J818" s="221">
        <v>2010</v>
      </c>
      <c r="K818" s="221" t="s">
        <v>54</v>
      </c>
      <c r="L818" s="225">
        <v>8020045061410</v>
      </c>
      <c r="M818" s="221" t="s">
        <v>869</v>
      </c>
      <c r="N818" s="229">
        <v>59995</v>
      </c>
      <c r="O818" s="229"/>
      <c r="Q818" s="221">
        <v>10</v>
      </c>
      <c r="R818" s="112">
        <f t="shared" si="73"/>
        <v>499.95</v>
      </c>
      <c r="S818" s="223">
        <f t="shared" si="76"/>
        <v>22997.7</v>
      </c>
      <c r="T818" s="223">
        <f t="shared" si="75"/>
        <v>36997.300000000003</v>
      </c>
      <c r="W818" s="223"/>
      <c r="X818" s="196">
        <f t="shared" si="72"/>
        <v>46</v>
      </c>
    </row>
    <row r="819" spans="2:24" s="221" customFormat="1">
      <c r="B819" s="221" t="s">
        <v>957</v>
      </c>
      <c r="C819" s="221" t="s">
        <v>956</v>
      </c>
      <c r="E819" s="226" t="s">
        <v>955</v>
      </c>
      <c r="F819" s="226" t="s">
        <v>89</v>
      </c>
      <c r="G819" s="220" t="str">
        <f t="shared" si="71"/>
        <v>14/6/2010</v>
      </c>
      <c r="H819" s="221">
        <v>14</v>
      </c>
      <c r="I819" s="221">
        <v>6</v>
      </c>
      <c r="J819" s="221">
        <v>2010</v>
      </c>
      <c r="K819" s="221" t="s">
        <v>54</v>
      </c>
      <c r="L819" s="225">
        <v>8020045061410</v>
      </c>
      <c r="M819" s="221" t="s">
        <v>869</v>
      </c>
      <c r="N819" s="229">
        <v>59995</v>
      </c>
      <c r="O819" s="229"/>
      <c r="P819" s="224"/>
      <c r="Q819" s="221">
        <v>10</v>
      </c>
      <c r="R819" s="112">
        <f t="shared" si="73"/>
        <v>499.95</v>
      </c>
      <c r="S819" s="223">
        <f t="shared" si="76"/>
        <v>22997.7</v>
      </c>
      <c r="T819" s="223">
        <f t="shared" si="75"/>
        <v>36997.300000000003</v>
      </c>
      <c r="W819" s="223"/>
      <c r="X819" s="196">
        <f t="shared" si="72"/>
        <v>46</v>
      </c>
    </row>
    <row r="820" spans="2:24" s="221" customFormat="1" ht="31.5">
      <c r="B820" s="195" t="s">
        <v>954</v>
      </c>
      <c r="E820" s="226"/>
      <c r="F820" s="226" t="s">
        <v>950</v>
      </c>
      <c r="G820" s="220" t="str">
        <f t="shared" si="71"/>
        <v>8/7/2010</v>
      </c>
      <c r="H820" s="221">
        <v>8</v>
      </c>
      <c r="I820" s="221">
        <v>7</v>
      </c>
      <c r="J820" s="221">
        <v>2010</v>
      </c>
      <c r="K820" s="221" t="s">
        <v>54</v>
      </c>
      <c r="L820" s="226">
        <v>9249</v>
      </c>
      <c r="M820" s="221" t="s">
        <v>869</v>
      </c>
      <c r="N820" s="229">
        <v>4631.22</v>
      </c>
      <c r="O820" s="229"/>
      <c r="P820" s="224"/>
      <c r="Q820" s="221">
        <v>10</v>
      </c>
      <c r="R820" s="112">
        <f t="shared" si="73"/>
        <v>38.585166666666673</v>
      </c>
      <c r="S820" s="223">
        <f t="shared" si="76"/>
        <v>1736.3325000000002</v>
      </c>
      <c r="T820" s="223">
        <f t="shared" si="75"/>
        <v>2894.8874999999998</v>
      </c>
      <c r="W820" s="223"/>
      <c r="X820" s="196">
        <f t="shared" si="72"/>
        <v>45</v>
      </c>
    </row>
    <row r="821" spans="2:24" s="221" customFormat="1" ht="31.5">
      <c r="B821" s="195" t="s">
        <v>953</v>
      </c>
      <c r="E821" s="226"/>
      <c r="F821" s="226" t="s">
        <v>950</v>
      </c>
      <c r="G821" s="220" t="str">
        <f t="shared" si="71"/>
        <v>8/7/2010</v>
      </c>
      <c r="H821" s="221">
        <v>8</v>
      </c>
      <c r="I821" s="221">
        <v>7</v>
      </c>
      <c r="J821" s="221">
        <v>2010</v>
      </c>
      <c r="K821" s="221" t="s">
        <v>54</v>
      </c>
      <c r="L821" s="226">
        <v>9249</v>
      </c>
      <c r="M821" s="221" t="s">
        <v>869</v>
      </c>
      <c r="N821" s="229">
        <v>2613.83</v>
      </c>
      <c r="O821" s="229"/>
      <c r="Q821" s="221">
        <v>10</v>
      </c>
      <c r="R821" s="112">
        <f t="shared" si="73"/>
        <v>21.773583333333335</v>
      </c>
      <c r="S821" s="223">
        <f t="shared" si="76"/>
        <v>979.81125000000009</v>
      </c>
      <c r="T821" s="223">
        <f t="shared" si="75"/>
        <v>1634.0187499999997</v>
      </c>
      <c r="W821" s="223"/>
      <c r="X821" s="196">
        <f t="shared" si="72"/>
        <v>45</v>
      </c>
    </row>
    <row r="822" spans="2:24" s="221" customFormat="1" ht="31.5">
      <c r="B822" s="195" t="s">
        <v>952</v>
      </c>
      <c r="E822" s="226"/>
      <c r="F822" s="226" t="s">
        <v>950</v>
      </c>
      <c r="G822" s="220" t="str">
        <f t="shared" si="71"/>
        <v>13/7/2010</v>
      </c>
      <c r="H822" s="221">
        <v>13</v>
      </c>
      <c r="I822" s="221">
        <v>7</v>
      </c>
      <c r="J822" s="221">
        <v>2010</v>
      </c>
      <c r="K822" s="221" t="s">
        <v>54</v>
      </c>
      <c r="L822" s="226">
        <v>9274</v>
      </c>
      <c r="M822" s="221" t="s">
        <v>869</v>
      </c>
      <c r="N822" s="229">
        <v>7185.5</v>
      </c>
      <c r="O822" s="229"/>
      <c r="Q822" s="221">
        <v>10</v>
      </c>
      <c r="R822" s="112">
        <f t="shared" si="73"/>
        <v>59.870833333333337</v>
      </c>
      <c r="S822" s="223">
        <f t="shared" si="76"/>
        <v>2694.1875</v>
      </c>
      <c r="T822" s="223">
        <f t="shared" si="75"/>
        <v>4491.3125</v>
      </c>
      <c r="W822" s="223"/>
      <c r="X822" s="196">
        <f t="shared" si="72"/>
        <v>45</v>
      </c>
    </row>
    <row r="823" spans="2:24" s="221" customFormat="1" ht="31.5">
      <c r="B823" s="205" t="s">
        <v>951</v>
      </c>
      <c r="C823" s="226"/>
      <c r="D823" s="226"/>
      <c r="E823" s="226"/>
      <c r="F823" s="226" t="s">
        <v>950</v>
      </c>
      <c r="G823" s="220" t="str">
        <f t="shared" si="71"/>
        <v>14/7/2010</v>
      </c>
      <c r="H823" s="228">
        <v>14</v>
      </c>
      <c r="I823" s="228">
        <v>7</v>
      </c>
      <c r="J823" s="227">
        <v>2010</v>
      </c>
      <c r="K823" s="226" t="s">
        <v>54</v>
      </c>
      <c r="L823" s="226">
        <v>9285</v>
      </c>
      <c r="M823" s="226" t="s">
        <v>869</v>
      </c>
      <c r="N823" s="168">
        <v>3824.87</v>
      </c>
      <c r="O823" s="168"/>
      <c r="Q823" s="221">
        <v>10</v>
      </c>
      <c r="R823" s="112">
        <f t="shared" si="73"/>
        <v>31.865583333333333</v>
      </c>
      <c r="S823" s="223">
        <f t="shared" si="76"/>
        <v>1433.9512500000001</v>
      </c>
      <c r="T823" s="223">
        <f t="shared" si="75"/>
        <v>2390.9187499999998</v>
      </c>
      <c r="W823" s="223"/>
      <c r="X823" s="196">
        <f t="shared" si="72"/>
        <v>45</v>
      </c>
    </row>
    <row r="824" spans="2:24" s="221" customFormat="1">
      <c r="B824" s="221" t="s">
        <v>949</v>
      </c>
      <c r="C824" s="221" t="s">
        <v>480</v>
      </c>
      <c r="E824" s="226" t="s">
        <v>948</v>
      </c>
      <c r="F824" s="226" t="s">
        <v>947</v>
      </c>
      <c r="G824" s="220" t="str">
        <f t="shared" si="71"/>
        <v>22/7/2010</v>
      </c>
      <c r="H824" s="221">
        <v>22</v>
      </c>
      <c r="I824" s="221">
        <v>7</v>
      </c>
      <c r="J824" s="221">
        <v>2010</v>
      </c>
      <c r="K824" s="221" t="s">
        <v>54</v>
      </c>
      <c r="L824" s="226">
        <v>106</v>
      </c>
      <c r="M824" s="221" t="s">
        <v>869</v>
      </c>
      <c r="N824" s="224">
        <v>148202.76</v>
      </c>
      <c r="O824" s="224"/>
      <c r="Q824" s="221">
        <v>10</v>
      </c>
      <c r="R824" s="112">
        <f t="shared" si="73"/>
        <v>1235.0146666666667</v>
      </c>
      <c r="S824" s="223">
        <f t="shared" si="76"/>
        <v>55575.66</v>
      </c>
      <c r="T824" s="223">
        <f t="shared" si="75"/>
        <v>92627.1</v>
      </c>
      <c r="W824" s="223"/>
      <c r="X824" s="196">
        <f t="shared" si="72"/>
        <v>45</v>
      </c>
    </row>
    <row r="825" spans="2:24" s="221" customFormat="1" ht="31.5">
      <c r="B825" s="195" t="s">
        <v>946</v>
      </c>
      <c r="E825" s="226"/>
      <c r="F825" s="226" t="s">
        <v>396</v>
      </c>
      <c r="G825" s="220" t="str">
        <f t="shared" si="71"/>
        <v>17/7/2010</v>
      </c>
      <c r="H825" s="221">
        <v>17</v>
      </c>
      <c r="I825" s="221">
        <v>7</v>
      </c>
      <c r="J825" s="221">
        <v>2010</v>
      </c>
      <c r="K825" s="221" t="s">
        <v>54</v>
      </c>
      <c r="L825" s="226" t="s">
        <v>945</v>
      </c>
      <c r="M825" s="221" t="s">
        <v>869</v>
      </c>
      <c r="N825" s="224">
        <v>23350.2</v>
      </c>
      <c r="O825" s="224"/>
      <c r="Q825" s="221">
        <v>10</v>
      </c>
      <c r="R825" s="112">
        <f t="shared" si="73"/>
        <v>194.57666666666668</v>
      </c>
      <c r="S825" s="223">
        <f t="shared" si="76"/>
        <v>8755.9500000000007</v>
      </c>
      <c r="T825" s="223">
        <f t="shared" si="75"/>
        <v>14594.25</v>
      </c>
      <c r="W825" s="223"/>
      <c r="X825" s="196">
        <f t="shared" si="72"/>
        <v>45</v>
      </c>
    </row>
    <row r="826" spans="2:24" s="221" customFormat="1" ht="31.5">
      <c r="B826" s="195" t="s">
        <v>944</v>
      </c>
      <c r="E826" s="226"/>
      <c r="F826" s="226" t="s">
        <v>940</v>
      </c>
      <c r="G826" s="220" t="str">
        <f t="shared" si="71"/>
        <v>15/3/2010</v>
      </c>
      <c r="H826" s="221">
        <v>15</v>
      </c>
      <c r="I826" s="221">
        <v>3</v>
      </c>
      <c r="J826" s="221">
        <v>2010</v>
      </c>
      <c r="K826" s="221" t="s">
        <v>54</v>
      </c>
      <c r="L826" s="226">
        <v>8493</v>
      </c>
      <c r="M826" s="221" t="s">
        <v>869</v>
      </c>
      <c r="N826" s="224">
        <v>6573.93</v>
      </c>
      <c r="O826" s="224"/>
      <c r="P826" s="224"/>
      <c r="Q826" s="221">
        <v>10</v>
      </c>
      <c r="R826" s="112">
        <f t="shared" si="73"/>
        <v>54.774416666666667</v>
      </c>
      <c r="S826" s="223">
        <f t="shared" si="76"/>
        <v>2683.9464166666667</v>
      </c>
      <c r="T826" s="223">
        <f t="shared" si="75"/>
        <v>3889.9835833333336</v>
      </c>
      <c r="W826" s="223"/>
      <c r="X826" s="196">
        <f t="shared" si="72"/>
        <v>49</v>
      </c>
    </row>
    <row r="827" spans="2:24" s="221" customFormat="1" ht="31.5">
      <c r="B827" s="195" t="s">
        <v>944</v>
      </c>
      <c r="E827" s="226"/>
      <c r="F827" s="226" t="s">
        <v>940</v>
      </c>
      <c r="G827" s="220" t="str">
        <f t="shared" si="71"/>
        <v>15/3/2010</v>
      </c>
      <c r="H827" s="221">
        <v>15</v>
      </c>
      <c r="I827" s="221">
        <v>3</v>
      </c>
      <c r="J827" s="221">
        <v>2010</v>
      </c>
      <c r="K827" s="221" t="s">
        <v>54</v>
      </c>
      <c r="L827" s="226">
        <v>8493</v>
      </c>
      <c r="M827" s="221" t="s">
        <v>869</v>
      </c>
      <c r="N827" s="224">
        <v>6573.93</v>
      </c>
      <c r="O827" s="224"/>
      <c r="Q827" s="221">
        <v>10</v>
      </c>
      <c r="R827" s="112">
        <f t="shared" si="73"/>
        <v>54.774416666666667</v>
      </c>
      <c r="S827" s="223">
        <f t="shared" si="76"/>
        <v>2683.9464166666667</v>
      </c>
      <c r="T827" s="223">
        <f t="shared" si="75"/>
        <v>3889.9835833333336</v>
      </c>
      <c r="W827" s="223"/>
      <c r="X827" s="196">
        <f t="shared" si="72"/>
        <v>49</v>
      </c>
    </row>
    <row r="828" spans="2:24" s="221" customFormat="1" ht="31.5">
      <c r="B828" s="195" t="s">
        <v>943</v>
      </c>
      <c r="E828" s="226"/>
      <c r="F828" s="226" t="s">
        <v>940</v>
      </c>
      <c r="G828" s="220" t="str">
        <f t="shared" si="71"/>
        <v>15/3/2010</v>
      </c>
      <c r="H828" s="221">
        <v>15</v>
      </c>
      <c r="I828" s="221">
        <v>3</v>
      </c>
      <c r="J828" s="221">
        <v>2010</v>
      </c>
      <c r="K828" s="221" t="s">
        <v>54</v>
      </c>
      <c r="L828" s="226">
        <v>8493</v>
      </c>
      <c r="M828" s="221" t="s">
        <v>869</v>
      </c>
      <c r="N828" s="224">
        <v>5802.9</v>
      </c>
      <c r="O828" s="224"/>
      <c r="Q828" s="221">
        <v>10</v>
      </c>
      <c r="R828" s="112">
        <f t="shared" si="73"/>
        <v>48.349166666666662</v>
      </c>
      <c r="S828" s="223">
        <f t="shared" si="76"/>
        <v>2369.1091666666666</v>
      </c>
      <c r="T828" s="223">
        <f t="shared" si="75"/>
        <v>3433.790833333333</v>
      </c>
      <c r="W828" s="223"/>
      <c r="X828" s="196">
        <f t="shared" si="72"/>
        <v>49</v>
      </c>
    </row>
    <row r="829" spans="2:24" s="221" customFormat="1">
      <c r="B829" s="221" t="s">
        <v>942</v>
      </c>
      <c r="E829" s="226"/>
      <c r="F829" s="226" t="s">
        <v>940</v>
      </c>
      <c r="G829" s="220" t="str">
        <f t="shared" si="71"/>
        <v>15/3/2010</v>
      </c>
      <c r="H829" s="221">
        <v>15</v>
      </c>
      <c r="I829" s="221">
        <v>3</v>
      </c>
      <c r="J829" s="221">
        <v>2010</v>
      </c>
      <c r="K829" s="221" t="s">
        <v>54</v>
      </c>
      <c r="L829" s="226">
        <v>8493</v>
      </c>
      <c r="M829" s="221" t="s">
        <v>869</v>
      </c>
      <c r="N829" s="224">
        <v>3925.78</v>
      </c>
      <c r="O829" s="224"/>
      <c r="P829" s="224"/>
      <c r="Q829" s="221">
        <v>10</v>
      </c>
      <c r="R829" s="112">
        <f t="shared" si="73"/>
        <v>32.706499999999998</v>
      </c>
      <c r="S829" s="223">
        <f t="shared" si="76"/>
        <v>1602.6184999999998</v>
      </c>
      <c r="T829" s="223">
        <f t="shared" si="75"/>
        <v>2323.1615000000002</v>
      </c>
      <c r="W829" s="223"/>
      <c r="X829" s="196">
        <f t="shared" si="72"/>
        <v>49</v>
      </c>
    </row>
    <row r="830" spans="2:24" s="221" customFormat="1">
      <c r="B830" s="221" t="s">
        <v>942</v>
      </c>
      <c r="E830" s="226"/>
      <c r="F830" s="226" t="s">
        <v>940</v>
      </c>
      <c r="G830" s="220" t="str">
        <f t="shared" si="71"/>
        <v>15/3/2010</v>
      </c>
      <c r="H830" s="221">
        <v>15</v>
      </c>
      <c r="I830" s="221">
        <v>3</v>
      </c>
      <c r="J830" s="221">
        <v>2010</v>
      </c>
      <c r="K830" s="221" t="s">
        <v>54</v>
      </c>
      <c r="L830" s="226">
        <v>8493</v>
      </c>
      <c r="M830" s="221" t="s">
        <v>869</v>
      </c>
      <c r="N830" s="224">
        <v>3925.79</v>
      </c>
      <c r="O830" s="224"/>
      <c r="Q830" s="221">
        <v>10</v>
      </c>
      <c r="R830" s="112">
        <f t="shared" si="73"/>
        <v>32.706583333333334</v>
      </c>
      <c r="S830" s="223">
        <f t="shared" si="76"/>
        <v>1602.6225833333333</v>
      </c>
      <c r="T830" s="223">
        <f t="shared" si="75"/>
        <v>2323.1674166666667</v>
      </c>
      <c r="W830" s="223"/>
      <c r="X830" s="196">
        <f t="shared" si="72"/>
        <v>49</v>
      </c>
    </row>
    <row r="831" spans="2:24" s="221" customFormat="1">
      <c r="B831" s="221" t="s">
        <v>942</v>
      </c>
      <c r="E831" s="226"/>
      <c r="F831" s="226" t="s">
        <v>940</v>
      </c>
      <c r="G831" s="220" t="str">
        <f t="shared" si="71"/>
        <v>15/3/2010</v>
      </c>
      <c r="H831" s="221">
        <v>15</v>
      </c>
      <c r="I831" s="221">
        <v>3</v>
      </c>
      <c r="J831" s="221">
        <v>2010</v>
      </c>
      <c r="K831" s="221" t="s">
        <v>54</v>
      </c>
      <c r="L831" s="226">
        <v>8493</v>
      </c>
      <c r="M831" s="221" t="s">
        <v>869</v>
      </c>
      <c r="N831" s="224">
        <v>3925.79</v>
      </c>
      <c r="O831" s="224"/>
      <c r="Q831" s="221">
        <v>10</v>
      </c>
      <c r="R831" s="112">
        <f t="shared" si="73"/>
        <v>32.706583333333334</v>
      </c>
      <c r="S831" s="223">
        <f t="shared" si="76"/>
        <v>1602.6225833333333</v>
      </c>
      <c r="T831" s="223">
        <f t="shared" si="75"/>
        <v>2323.1674166666667</v>
      </c>
      <c r="W831" s="223"/>
      <c r="X831" s="196">
        <f t="shared" si="72"/>
        <v>49</v>
      </c>
    </row>
    <row r="832" spans="2:24" s="221" customFormat="1">
      <c r="B832" s="221" t="s">
        <v>941</v>
      </c>
      <c r="E832" s="226"/>
      <c r="F832" s="226" t="s">
        <v>940</v>
      </c>
      <c r="G832" s="220" t="str">
        <f t="shared" si="71"/>
        <v>15/3/2010</v>
      </c>
      <c r="H832" s="221">
        <v>15</v>
      </c>
      <c r="I832" s="221">
        <v>3</v>
      </c>
      <c r="J832" s="221">
        <v>2010</v>
      </c>
      <c r="K832" s="221" t="s">
        <v>54</v>
      </c>
      <c r="L832" s="226">
        <v>8493</v>
      </c>
      <c r="M832" s="221" t="s">
        <v>869</v>
      </c>
      <c r="N832" s="224">
        <v>1890.23</v>
      </c>
      <c r="O832" s="224"/>
      <c r="Q832" s="221">
        <v>10</v>
      </c>
      <c r="R832" s="112">
        <f t="shared" si="73"/>
        <v>15.743583333333333</v>
      </c>
      <c r="S832" s="223">
        <f t="shared" si="76"/>
        <v>771.4355833333334</v>
      </c>
      <c r="T832" s="223">
        <f t="shared" si="75"/>
        <v>1118.7944166666666</v>
      </c>
      <c r="W832" s="223"/>
      <c r="X832" s="196">
        <f t="shared" si="72"/>
        <v>49</v>
      </c>
    </row>
    <row r="833" spans="1:24" s="221" customFormat="1" ht="47.25">
      <c r="B833" s="195" t="s">
        <v>939</v>
      </c>
      <c r="E833" s="225">
        <v>3069691100392</v>
      </c>
      <c r="F833" s="226" t="s">
        <v>932</v>
      </c>
      <c r="G833" s="220" t="str">
        <f t="shared" si="71"/>
        <v>17/1/2010</v>
      </c>
      <c r="H833" s="221">
        <v>17</v>
      </c>
      <c r="I833" s="221">
        <v>1</v>
      </c>
      <c r="J833" s="221">
        <v>2010</v>
      </c>
      <c r="K833" s="221" t="s">
        <v>54</v>
      </c>
      <c r="L833" s="226">
        <v>45123</v>
      </c>
      <c r="M833" s="221" t="s">
        <v>869</v>
      </c>
      <c r="N833" s="224">
        <v>21420.09</v>
      </c>
      <c r="O833" s="224"/>
      <c r="P833" s="224"/>
      <c r="Q833" s="221">
        <v>10</v>
      </c>
      <c r="R833" s="112">
        <f t="shared" si="73"/>
        <v>178.49241666666668</v>
      </c>
      <c r="S833" s="223">
        <f t="shared" si="76"/>
        <v>9103.1132500000003</v>
      </c>
      <c r="T833" s="223">
        <f t="shared" si="75"/>
        <v>12316.97675</v>
      </c>
      <c r="W833" s="223"/>
      <c r="X833" s="196">
        <f t="shared" si="72"/>
        <v>51</v>
      </c>
    </row>
    <row r="834" spans="1:24" s="221" customFormat="1" ht="47.25">
      <c r="B834" s="195" t="s">
        <v>938</v>
      </c>
      <c r="E834" s="225">
        <v>3069691100385</v>
      </c>
      <c r="F834" s="226" t="s">
        <v>932</v>
      </c>
      <c r="G834" s="220" t="str">
        <f t="shared" si="71"/>
        <v>17/1/2010</v>
      </c>
      <c r="H834" s="221">
        <v>17</v>
      </c>
      <c r="I834" s="221">
        <v>1</v>
      </c>
      <c r="J834" s="221">
        <v>2010</v>
      </c>
      <c r="K834" s="221" t="s">
        <v>54</v>
      </c>
      <c r="L834" s="226">
        <v>45123</v>
      </c>
      <c r="M834" s="221" t="s">
        <v>869</v>
      </c>
      <c r="N834" s="224">
        <v>21420.09</v>
      </c>
      <c r="O834" s="224"/>
      <c r="Q834" s="221">
        <v>10</v>
      </c>
      <c r="R834" s="112">
        <f t="shared" si="73"/>
        <v>178.49241666666668</v>
      </c>
      <c r="S834" s="223">
        <f t="shared" si="76"/>
        <v>9103.1132500000003</v>
      </c>
      <c r="T834" s="223">
        <f t="shared" si="75"/>
        <v>12316.97675</v>
      </c>
      <c r="W834" s="223"/>
      <c r="X834" s="196">
        <f t="shared" si="72"/>
        <v>51</v>
      </c>
    </row>
    <row r="835" spans="1:24" s="221" customFormat="1" ht="47.25">
      <c r="B835" s="195" t="s">
        <v>937</v>
      </c>
      <c r="E835" s="225">
        <v>3069691100391</v>
      </c>
      <c r="F835" s="226" t="s">
        <v>932</v>
      </c>
      <c r="G835" s="220" t="str">
        <f t="shared" si="71"/>
        <v>17/1/2010</v>
      </c>
      <c r="H835" s="221">
        <v>17</v>
      </c>
      <c r="I835" s="221">
        <v>1</v>
      </c>
      <c r="J835" s="221">
        <v>2010</v>
      </c>
      <c r="K835" s="221" t="s">
        <v>54</v>
      </c>
      <c r="L835" s="226">
        <v>45123</v>
      </c>
      <c r="M835" s="221" t="s">
        <v>869</v>
      </c>
      <c r="N835" s="224">
        <v>21420.09</v>
      </c>
      <c r="O835" s="224"/>
      <c r="Q835" s="221">
        <v>10</v>
      </c>
      <c r="R835" s="112">
        <f t="shared" si="73"/>
        <v>178.49241666666668</v>
      </c>
      <c r="S835" s="223">
        <f t="shared" si="76"/>
        <v>9103.1132500000003</v>
      </c>
      <c r="T835" s="223">
        <f t="shared" si="75"/>
        <v>12316.97675</v>
      </c>
      <c r="W835" s="223"/>
      <c r="X835" s="196">
        <f t="shared" si="72"/>
        <v>51</v>
      </c>
    </row>
    <row r="836" spans="1:24" s="221" customFormat="1" ht="47.25">
      <c r="B836" s="195" t="s">
        <v>936</v>
      </c>
      <c r="E836" s="225">
        <v>3069691100380</v>
      </c>
      <c r="F836" s="226" t="s">
        <v>932</v>
      </c>
      <c r="G836" s="220" t="str">
        <f t="shared" si="71"/>
        <v>17/1/2010</v>
      </c>
      <c r="H836" s="221">
        <v>17</v>
      </c>
      <c r="I836" s="221">
        <v>1</v>
      </c>
      <c r="J836" s="221">
        <v>2010</v>
      </c>
      <c r="K836" s="221" t="s">
        <v>54</v>
      </c>
      <c r="L836" s="226">
        <v>45123</v>
      </c>
      <c r="M836" s="221" t="s">
        <v>869</v>
      </c>
      <c r="N836" s="224">
        <v>21420.09</v>
      </c>
      <c r="O836" s="224"/>
      <c r="Q836" s="221">
        <v>10</v>
      </c>
      <c r="R836" s="112">
        <f t="shared" si="73"/>
        <v>178.49241666666668</v>
      </c>
      <c r="S836" s="223">
        <f t="shared" si="76"/>
        <v>9103.1132500000003</v>
      </c>
      <c r="T836" s="223">
        <f t="shared" si="75"/>
        <v>12316.97675</v>
      </c>
      <c r="W836" s="223"/>
      <c r="X836" s="196">
        <f t="shared" si="72"/>
        <v>51</v>
      </c>
    </row>
    <row r="837" spans="1:24" s="221" customFormat="1" ht="47.25">
      <c r="B837" s="195" t="s">
        <v>935</v>
      </c>
      <c r="E837" s="225">
        <v>3069691100382</v>
      </c>
      <c r="F837" s="226" t="s">
        <v>932</v>
      </c>
      <c r="G837" s="220" t="str">
        <f t="shared" si="71"/>
        <v>17/1/2010</v>
      </c>
      <c r="H837" s="221">
        <v>17</v>
      </c>
      <c r="I837" s="221">
        <v>1</v>
      </c>
      <c r="J837" s="221">
        <v>2010</v>
      </c>
      <c r="K837" s="221" t="s">
        <v>54</v>
      </c>
      <c r="L837" s="226">
        <v>45123</v>
      </c>
      <c r="M837" s="221" t="s">
        <v>869</v>
      </c>
      <c r="N837" s="224">
        <v>21420.09</v>
      </c>
      <c r="O837" s="224"/>
      <c r="Q837" s="221">
        <v>10</v>
      </c>
      <c r="R837" s="112">
        <f t="shared" si="73"/>
        <v>178.49241666666668</v>
      </c>
      <c r="S837" s="223">
        <f t="shared" si="76"/>
        <v>9103.1132500000003</v>
      </c>
      <c r="T837" s="223">
        <f t="shared" si="75"/>
        <v>12316.97675</v>
      </c>
      <c r="W837" s="223"/>
      <c r="X837" s="196">
        <f t="shared" si="72"/>
        <v>51</v>
      </c>
    </row>
    <row r="838" spans="1:24" s="221" customFormat="1" ht="47.25">
      <c r="B838" s="195" t="s">
        <v>934</v>
      </c>
      <c r="E838" s="225">
        <v>3069691100384</v>
      </c>
      <c r="F838" s="226" t="s">
        <v>932</v>
      </c>
      <c r="G838" s="220" t="str">
        <f t="shared" si="71"/>
        <v>17/1/2010</v>
      </c>
      <c r="H838" s="221">
        <v>17</v>
      </c>
      <c r="I838" s="221">
        <v>1</v>
      </c>
      <c r="J838" s="221">
        <v>2010</v>
      </c>
      <c r="K838" s="221" t="s">
        <v>54</v>
      </c>
      <c r="L838" s="226">
        <v>45123</v>
      </c>
      <c r="M838" s="221" t="s">
        <v>869</v>
      </c>
      <c r="N838" s="224">
        <v>21420.09</v>
      </c>
      <c r="O838" s="224"/>
      <c r="Q838" s="221">
        <v>10</v>
      </c>
      <c r="R838" s="112">
        <f t="shared" si="73"/>
        <v>178.49241666666668</v>
      </c>
      <c r="S838" s="223">
        <f t="shared" si="76"/>
        <v>9103.1132500000003</v>
      </c>
      <c r="T838" s="223">
        <f t="shared" si="75"/>
        <v>12316.97675</v>
      </c>
      <c r="W838" s="223"/>
      <c r="X838" s="196">
        <f t="shared" si="72"/>
        <v>51</v>
      </c>
    </row>
    <row r="839" spans="1:24" s="221" customFormat="1" ht="47.25">
      <c r="B839" s="195" t="s">
        <v>933</v>
      </c>
      <c r="E839" s="225">
        <v>3069691100393</v>
      </c>
      <c r="F839" s="226" t="s">
        <v>932</v>
      </c>
      <c r="G839" s="220" t="str">
        <f t="shared" ref="G839:G842" si="77">CONCATENATE(H839,"/",I839,"/",J839,)</f>
        <v>17/1/2010</v>
      </c>
      <c r="H839" s="221">
        <v>17</v>
      </c>
      <c r="I839" s="221">
        <v>1</v>
      </c>
      <c r="J839" s="221">
        <v>2010</v>
      </c>
      <c r="K839" s="221" t="s">
        <v>54</v>
      </c>
      <c r="L839" s="226">
        <v>45123</v>
      </c>
      <c r="M839" s="221" t="s">
        <v>869</v>
      </c>
      <c r="N839" s="224">
        <v>21420.09</v>
      </c>
      <c r="O839" s="224"/>
      <c r="Q839" s="221">
        <v>10</v>
      </c>
      <c r="R839" s="112">
        <f t="shared" si="73"/>
        <v>178.49241666666668</v>
      </c>
      <c r="S839" s="223">
        <f t="shared" si="76"/>
        <v>9103.1132500000003</v>
      </c>
      <c r="T839" s="223">
        <f t="shared" si="75"/>
        <v>12316.97675</v>
      </c>
      <c r="W839" s="223"/>
      <c r="X839" s="196">
        <f t="shared" ref="X839:X869" si="78">IF((DATEDIF(G839,X$4,"m"))&gt;=120,120,(DATEDIF(G839,X$4,"m")))</f>
        <v>51</v>
      </c>
    </row>
    <row r="840" spans="1:24" s="221" customFormat="1">
      <c r="B840" s="195" t="s">
        <v>931</v>
      </c>
      <c r="C840" s="221" t="s">
        <v>398</v>
      </c>
      <c r="E840" s="226"/>
      <c r="F840" s="226" t="s">
        <v>928</v>
      </c>
      <c r="G840" s="220" t="str">
        <f t="shared" si="77"/>
        <v>4/3/2010</v>
      </c>
      <c r="H840" s="221">
        <v>4</v>
      </c>
      <c r="I840" s="221">
        <v>3</v>
      </c>
      <c r="J840" s="221">
        <v>2010</v>
      </c>
      <c r="K840" s="221" t="s">
        <v>54</v>
      </c>
      <c r="L840" s="225" t="s">
        <v>930</v>
      </c>
      <c r="M840" s="221" t="s">
        <v>869</v>
      </c>
      <c r="N840" s="224">
        <v>3495</v>
      </c>
      <c r="O840" s="224"/>
      <c r="Q840" s="221">
        <v>10</v>
      </c>
      <c r="R840" s="112">
        <f t="shared" si="73"/>
        <v>29.116666666666664</v>
      </c>
      <c r="S840" s="223">
        <f t="shared" si="76"/>
        <v>1426.7166666666665</v>
      </c>
      <c r="T840" s="223">
        <f t="shared" si="75"/>
        <v>2068.2833333333338</v>
      </c>
      <c r="W840" s="223"/>
      <c r="X840" s="196">
        <f t="shared" si="78"/>
        <v>49</v>
      </c>
    </row>
    <row r="841" spans="1:24" s="221" customFormat="1">
      <c r="B841" s="195" t="s">
        <v>929</v>
      </c>
      <c r="E841" s="226"/>
      <c r="F841" s="226" t="s">
        <v>928</v>
      </c>
      <c r="G841" s="220" t="str">
        <f t="shared" si="77"/>
        <v>26/5/2010</v>
      </c>
      <c r="H841" s="221">
        <v>26</v>
      </c>
      <c r="I841" s="221">
        <v>5</v>
      </c>
      <c r="J841" s="221">
        <v>2010</v>
      </c>
      <c r="K841" s="221" t="s">
        <v>54</v>
      </c>
      <c r="L841" s="225" t="s">
        <v>927</v>
      </c>
      <c r="M841" s="221" t="s">
        <v>869</v>
      </c>
      <c r="N841" s="224">
        <v>2195</v>
      </c>
      <c r="O841" s="224"/>
      <c r="Q841" s="221">
        <v>10</v>
      </c>
      <c r="R841" s="112">
        <f t="shared" ref="R841:R869" si="79">(((N841)-1)/10)/12</f>
        <v>18.283333333333335</v>
      </c>
      <c r="S841" s="223">
        <f t="shared" si="76"/>
        <v>859.31666666666672</v>
      </c>
      <c r="T841" s="223">
        <f t="shared" si="75"/>
        <v>1335.6833333333334</v>
      </c>
      <c r="W841" s="223"/>
      <c r="X841" s="196">
        <f t="shared" si="78"/>
        <v>47</v>
      </c>
    </row>
    <row r="842" spans="1:24" s="221" customFormat="1">
      <c r="B842" s="195" t="s">
        <v>926</v>
      </c>
      <c r="E842" s="226"/>
      <c r="F842" s="226" t="s">
        <v>925</v>
      </c>
      <c r="G842" s="220" t="str">
        <f t="shared" si="77"/>
        <v>21/12/2010</v>
      </c>
      <c r="H842" s="221">
        <v>21</v>
      </c>
      <c r="I842" s="221">
        <v>12</v>
      </c>
      <c r="J842" s="221">
        <v>2010</v>
      </c>
      <c r="K842" s="221" t="s">
        <v>54</v>
      </c>
      <c r="L842" s="225">
        <v>927</v>
      </c>
      <c r="M842" s="221" t="s">
        <v>869</v>
      </c>
      <c r="N842" s="224">
        <v>16885.25</v>
      </c>
      <c r="O842" s="224"/>
      <c r="Q842" s="221">
        <v>10</v>
      </c>
      <c r="R842" s="112">
        <f t="shared" si="79"/>
        <v>140.70208333333332</v>
      </c>
      <c r="S842" s="223">
        <f t="shared" si="76"/>
        <v>5628.083333333333</v>
      </c>
      <c r="T842" s="223">
        <f t="shared" si="75"/>
        <v>11257.166666666668</v>
      </c>
      <c r="W842" s="223"/>
      <c r="X842" s="196">
        <f t="shared" si="78"/>
        <v>40</v>
      </c>
    </row>
    <row r="843" spans="1:24" s="195" customFormat="1" ht="15.75" customHeight="1">
      <c r="A843" s="216"/>
      <c r="B843" s="219" t="s">
        <v>923</v>
      </c>
      <c r="E843" s="205"/>
      <c r="F843" s="204" t="s">
        <v>908</v>
      </c>
      <c r="G843" s="217">
        <v>40557</v>
      </c>
      <c r="J843" s="195">
        <v>2011</v>
      </c>
      <c r="K843" s="195" t="s">
        <v>351</v>
      </c>
      <c r="L843" s="197" t="s">
        <v>921</v>
      </c>
      <c r="M843" s="195" t="s">
        <v>869</v>
      </c>
      <c r="N843" s="218">
        <v>12080.12</v>
      </c>
      <c r="O843" s="214"/>
      <c r="P843" s="214"/>
      <c r="Q843" s="195">
        <v>10</v>
      </c>
      <c r="R843" s="112">
        <f t="shared" si="79"/>
        <v>100.65933333333334</v>
      </c>
      <c r="S843" s="223">
        <f t="shared" si="76"/>
        <v>3925.7139999999999</v>
      </c>
      <c r="T843" s="223">
        <f t="shared" si="75"/>
        <v>8154.4060000000009</v>
      </c>
      <c r="U843" s="197">
        <v>15039</v>
      </c>
      <c r="W843" s="223"/>
      <c r="X843" s="196">
        <f t="shared" si="78"/>
        <v>39</v>
      </c>
    </row>
    <row r="844" spans="1:24" s="195" customFormat="1" ht="15.75" customHeight="1">
      <c r="A844" s="216"/>
      <c r="B844" s="206" t="s">
        <v>922</v>
      </c>
      <c r="E844" s="205"/>
      <c r="F844" s="204" t="s">
        <v>908</v>
      </c>
      <c r="G844" s="217">
        <v>40557</v>
      </c>
      <c r="J844" s="195">
        <v>2011</v>
      </c>
      <c r="K844" s="195" t="s">
        <v>351</v>
      </c>
      <c r="L844" s="197" t="s">
        <v>921</v>
      </c>
      <c r="M844" s="195" t="s">
        <v>869</v>
      </c>
      <c r="N844" s="211">
        <v>102040.56</v>
      </c>
      <c r="O844" s="214"/>
      <c r="P844" s="214"/>
      <c r="Q844" s="195">
        <v>10</v>
      </c>
      <c r="R844" s="112">
        <f t="shared" si="79"/>
        <v>850.32966666666664</v>
      </c>
      <c r="S844" s="223">
        <f t="shared" si="76"/>
        <v>33162.856999999996</v>
      </c>
      <c r="T844" s="223">
        <f t="shared" si="75"/>
        <v>68877.703000000009</v>
      </c>
      <c r="U844" s="197">
        <v>15039</v>
      </c>
      <c r="W844" s="223"/>
      <c r="X844" s="196">
        <f t="shared" si="78"/>
        <v>39</v>
      </c>
    </row>
    <row r="845" spans="1:24" s="195" customFormat="1">
      <c r="A845" s="216"/>
      <c r="B845" s="206" t="s">
        <v>920</v>
      </c>
      <c r="E845" s="205"/>
      <c r="F845" s="204" t="s">
        <v>919</v>
      </c>
      <c r="G845" s="215">
        <v>40571</v>
      </c>
      <c r="J845" s="195">
        <v>2011</v>
      </c>
      <c r="K845" s="195" t="s">
        <v>351</v>
      </c>
      <c r="L845" s="197" t="s">
        <v>918</v>
      </c>
      <c r="M845" s="195" t="s">
        <v>869</v>
      </c>
      <c r="N845" s="211">
        <v>39252.660000000003</v>
      </c>
      <c r="O845" s="214"/>
      <c r="P845" s="214"/>
      <c r="Q845" s="195">
        <v>10</v>
      </c>
      <c r="R845" s="112">
        <f t="shared" si="79"/>
        <v>327.09716666666668</v>
      </c>
      <c r="S845" s="223">
        <f t="shared" si="76"/>
        <v>12756.789500000001</v>
      </c>
      <c r="T845" s="223">
        <f t="shared" si="75"/>
        <v>26495.870500000005</v>
      </c>
      <c r="U845" s="197">
        <v>15038</v>
      </c>
      <c r="W845" s="223"/>
      <c r="X845" s="196">
        <f t="shared" si="78"/>
        <v>39</v>
      </c>
    </row>
    <row r="846" spans="1:24" s="195" customFormat="1" ht="31.5">
      <c r="A846" s="216"/>
      <c r="B846" s="208" t="s">
        <v>917</v>
      </c>
      <c r="E846" s="205"/>
      <c r="F846" s="204" t="s">
        <v>908</v>
      </c>
      <c r="G846" s="215">
        <v>40570</v>
      </c>
      <c r="J846" s="195">
        <v>2011</v>
      </c>
      <c r="K846" s="195" t="s">
        <v>351</v>
      </c>
      <c r="L846" s="197" t="s">
        <v>913</v>
      </c>
      <c r="M846" s="195" t="s">
        <v>869</v>
      </c>
      <c r="N846" s="211">
        <v>24200.61</v>
      </c>
      <c r="O846" s="214"/>
      <c r="P846" s="214"/>
      <c r="Q846" s="195">
        <v>10</v>
      </c>
      <c r="R846" s="112">
        <f t="shared" si="79"/>
        <v>201.66341666666668</v>
      </c>
      <c r="S846" s="223">
        <f t="shared" si="76"/>
        <v>7864.8732500000006</v>
      </c>
      <c r="T846" s="223">
        <f t="shared" si="75"/>
        <v>16335.73675</v>
      </c>
      <c r="U846" s="197">
        <v>15167</v>
      </c>
      <c r="W846" s="223"/>
      <c r="X846" s="196">
        <f t="shared" si="78"/>
        <v>39</v>
      </c>
    </row>
    <row r="847" spans="1:24" s="195" customFormat="1">
      <c r="A847" s="216"/>
      <c r="B847" s="208" t="s">
        <v>916</v>
      </c>
      <c r="E847" s="205"/>
      <c r="F847" s="204" t="s">
        <v>908</v>
      </c>
      <c r="G847" s="215">
        <v>40570</v>
      </c>
      <c r="J847" s="195">
        <v>2011</v>
      </c>
      <c r="K847" s="195" t="s">
        <v>351</v>
      </c>
      <c r="L847" s="197" t="s">
        <v>913</v>
      </c>
      <c r="M847" s="195" t="s">
        <v>869</v>
      </c>
      <c r="N847" s="211">
        <v>22656.55</v>
      </c>
      <c r="O847" s="214"/>
      <c r="P847" s="214"/>
      <c r="Q847" s="195">
        <v>10</v>
      </c>
      <c r="R847" s="112">
        <f t="shared" si="79"/>
        <v>188.79624999999999</v>
      </c>
      <c r="S847" s="223">
        <f t="shared" si="76"/>
        <v>7363.0537499999991</v>
      </c>
      <c r="T847" s="223">
        <f t="shared" si="75"/>
        <v>15293.49625</v>
      </c>
      <c r="U847" s="197">
        <v>15167</v>
      </c>
      <c r="W847" s="223"/>
      <c r="X847" s="196">
        <f t="shared" si="78"/>
        <v>39</v>
      </c>
    </row>
    <row r="848" spans="1:24" s="195" customFormat="1">
      <c r="A848" s="216"/>
      <c r="B848" s="208" t="s">
        <v>915</v>
      </c>
      <c r="E848" s="205"/>
      <c r="F848" s="204" t="s">
        <v>908</v>
      </c>
      <c r="G848" s="215">
        <v>40570</v>
      </c>
      <c r="J848" s="195">
        <v>2011</v>
      </c>
      <c r="K848" s="195" t="s">
        <v>351</v>
      </c>
      <c r="L848" s="197" t="s">
        <v>913</v>
      </c>
      <c r="M848" s="195" t="s">
        <v>869</v>
      </c>
      <c r="N848" s="211">
        <v>23554.74</v>
      </c>
      <c r="O848" s="214"/>
      <c r="P848" s="214"/>
      <c r="Q848" s="195">
        <v>10</v>
      </c>
      <c r="R848" s="112">
        <f t="shared" si="79"/>
        <v>196.28116666666668</v>
      </c>
      <c r="S848" s="223">
        <f t="shared" si="76"/>
        <v>7654.9655000000002</v>
      </c>
      <c r="T848" s="223">
        <f t="shared" si="75"/>
        <v>15899.774500000001</v>
      </c>
      <c r="U848" s="197">
        <v>15167</v>
      </c>
      <c r="W848" s="223"/>
      <c r="X848" s="196">
        <f t="shared" si="78"/>
        <v>39</v>
      </c>
    </row>
    <row r="849" spans="1:24" s="195" customFormat="1" ht="31.5">
      <c r="A849" s="216"/>
      <c r="B849" s="208" t="s">
        <v>914</v>
      </c>
      <c r="E849" s="205"/>
      <c r="F849" s="204" t="s">
        <v>908</v>
      </c>
      <c r="G849" s="215">
        <v>40570</v>
      </c>
      <c r="J849" s="195">
        <v>2011</v>
      </c>
      <c r="K849" s="195" t="s">
        <v>351</v>
      </c>
      <c r="L849" s="197" t="s">
        <v>913</v>
      </c>
      <c r="M849" s="195" t="s">
        <v>869</v>
      </c>
      <c r="N849" s="211">
        <v>16674.16</v>
      </c>
      <c r="O849" s="214"/>
      <c r="P849" s="214"/>
      <c r="Q849" s="195">
        <v>10</v>
      </c>
      <c r="R849" s="112">
        <f t="shared" si="79"/>
        <v>138.94300000000001</v>
      </c>
      <c r="S849" s="223">
        <f t="shared" si="76"/>
        <v>5418.777</v>
      </c>
      <c r="T849" s="223">
        <f t="shared" si="75"/>
        <v>11255.383</v>
      </c>
      <c r="U849" s="197">
        <v>15167</v>
      </c>
      <c r="W849" s="223"/>
      <c r="X849" s="196">
        <f t="shared" si="78"/>
        <v>39</v>
      </c>
    </row>
    <row r="850" spans="1:24" s="195" customFormat="1">
      <c r="A850" s="216"/>
      <c r="B850" s="208" t="s">
        <v>912</v>
      </c>
      <c r="E850" s="205"/>
      <c r="F850" s="204" t="s">
        <v>908</v>
      </c>
      <c r="G850" s="215">
        <v>40584</v>
      </c>
      <c r="J850" s="195">
        <v>2011</v>
      </c>
      <c r="K850" s="195" t="s">
        <v>351</v>
      </c>
      <c r="L850" s="197" t="s">
        <v>907</v>
      </c>
      <c r="M850" s="195" t="s">
        <v>869</v>
      </c>
      <c r="N850" s="211">
        <v>22192.31</v>
      </c>
      <c r="O850" s="214"/>
      <c r="P850" s="214"/>
      <c r="Q850" s="195">
        <v>10</v>
      </c>
      <c r="R850" s="112">
        <f t="shared" si="79"/>
        <v>184.92758333333336</v>
      </c>
      <c r="S850" s="223">
        <f t="shared" si="76"/>
        <v>7027.2481666666681</v>
      </c>
      <c r="T850" s="223">
        <f t="shared" si="75"/>
        <v>15165.061833333333</v>
      </c>
      <c r="U850" s="197">
        <v>15167</v>
      </c>
      <c r="W850" s="223"/>
      <c r="X850" s="196">
        <f t="shared" si="78"/>
        <v>38</v>
      </c>
    </row>
    <row r="851" spans="1:24" s="195" customFormat="1">
      <c r="A851" s="216"/>
      <c r="B851" s="208" t="s">
        <v>911</v>
      </c>
      <c r="E851" s="205"/>
      <c r="F851" s="204" t="s">
        <v>908</v>
      </c>
      <c r="G851" s="215">
        <v>40584</v>
      </c>
      <c r="J851" s="195">
        <v>2011</v>
      </c>
      <c r="K851" s="195" t="s">
        <v>351</v>
      </c>
      <c r="L851" s="197" t="s">
        <v>907</v>
      </c>
      <c r="M851" s="195" t="s">
        <v>869</v>
      </c>
      <c r="N851" s="211">
        <v>6529.52</v>
      </c>
      <c r="O851" s="214"/>
      <c r="P851" s="214"/>
      <c r="Q851" s="195">
        <v>10</v>
      </c>
      <c r="R851" s="112">
        <f t="shared" si="79"/>
        <v>54.404333333333341</v>
      </c>
      <c r="S851" s="223">
        <f t="shared" si="76"/>
        <v>2067.3646666666668</v>
      </c>
      <c r="T851" s="223">
        <f t="shared" si="75"/>
        <v>4462.1553333333341</v>
      </c>
      <c r="U851" s="197">
        <v>15167</v>
      </c>
      <c r="W851" s="223"/>
      <c r="X851" s="196">
        <f t="shared" si="78"/>
        <v>38</v>
      </c>
    </row>
    <row r="852" spans="1:24" s="195" customFormat="1">
      <c r="A852" s="216"/>
      <c r="B852" s="208" t="s">
        <v>910</v>
      </c>
      <c r="E852" s="205"/>
      <c r="F852" s="204" t="s">
        <v>908</v>
      </c>
      <c r="G852" s="215">
        <v>40584</v>
      </c>
      <c r="J852" s="195">
        <v>2011</v>
      </c>
      <c r="K852" s="195" t="s">
        <v>351</v>
      </c>
      <c r="L852" s="197" t="s">
        <v>907</v>
      </c>
      <c r="M852" s="195" t="s">
        <v>869</v>
      </c>
      <c r="N852" s="211">
        <v>8976.83</v>
      </c>
      <c r="O852" s="214"/>
      <c r="P852" s="214"/>
      <c r="Q852" s="195">
        <v>10</v>
      </c>
      <c r="R852" s="112">
        <f t="shared" si="79"/>
        <v>74.798583333333326</v>
      </c>
      <c r="S852" s="223">
        <f t="shared" si="76"/>
        <v>2842.3461666666662</v>
      </c>
      <c r="T852" s="223">
        <f t="shared" si="75"/>
        <v>6134.4838333333337</v>
      </c>
      <c r="U852" s="197">
        <v>15167</v>
      </c>
      <c r="W852" s="223"/>
      <c r="X852" s="196">
        <f t="shared" si="78"/>
        <v>38</v>
      </c>
    </row>
    <row r="853" spans="1:24" s="195" customFormat="1">
      <c r="B853" s="208" t="s">
        <v>909</v>
      </c>
      <c r="E853" s="212"/>
      <c r="F853" s="204" t="s">
        <v>908</v>
      </c>
      <c r="G853" s="203" t="str">
        <f>CONCATENATE(H853,"/",I853,"/",J853,)</f>
        <v>10/2/2011</v>
      </c>
      <c r="H853" s="201">
        <v>10</v>
      </c>
      <c r="I853" s="201">
        <v>2</v>
      </c>
      <c r="J853" s="201">
        <v>2011</v>
      </c>
      <c r="K853" s="195" t="s">
        <v>351</v>
      </c>
      <c r="L853" s="197" t="s">
        <v>907</v>
      </c>
      <c r="M853" s="195" t="s">
        <v>869</v>
      </c>
      <c r="N853" s="211">
        <v>17837.62</v>
      </c>
      <c r="O853" s="213"/>
      <c r="Q853" s="195">
        <v>10</v>
      </c>
      <c r="R853" s="112">
        <f t="shared" si="79"/>
        <v>148.63849999999999</v>
      </c>
      <c r="S853" s="198">
        <f t="shared" si="76"/>
        <v>5648.2629999999999</v>
      </c>
      <c r="T853" s="198">
        <f t="shared" ref="T853:T869" si="80">N853-S853</f>
        <v>12189.357</v>
      </c>
      <c r="U853" s="197">
        <v>15167</v>
      </c>
      <c r="W853" s="223"/>
      <c r="X853" s="196">
        <f t="shared" si="78"/>
        <v>38</v>
      </c>
    </row>
    <row r="854" spans="1:24" s="195" customFormat="1">
      <c r="B854" s="206" t="s">
        <v>906</v>
      </c>
      <c r="E854" s="212"/>
      <c r="F854" s="204" t="s">
        <v>905</v>
      </c>
      <c r="G854" s="203" t="str">
        <f>CONCATENATE(H854,"/",I854,"/",J854,)</f>
        <v>22/3/2011</v>
      </c>
      <c r="H854" s="201">
        <v>22</v>
      </c>
      <c r="I854" s="201">
        <v>3</v>
      </c>
      <c r="J854" s="201">
        <v>2011</v>
      </c>
      <c r="K854" s="195" t="s">
        <v>351</v>
      </c>
      <c r="L854" s="197" t="s">
        <v>904</v>
      </c>
      <c r="M854" s="195" t="s">
        <v>869</v>
      </c>
      <c r="N854" s="211">
        <v>5195</v>
      </c>
      <c r="Q854" s="195">
        <v>10</v>
      </c>
      <c r="R854" s="112">
        <f t="shared" si="79"/>
        <v>43.283333333333331</v>
      </c>
      <c r="S854" s="198">
        <f t="shared" si="76"/>
        <v>1601.4833333333333</v>
      </c>
      <c r="T854" s="198">
        <f t="shared" si="80"/>
        <v>3593.5166666666664</v>
      </c>
      <c r="U854" s="197">
        <v>15291</v>
      </c>
      <c r="W854" s="223"/>
      <c r="X854" s="196">
        <f t="shared" si="78"/>
        <v>37</v>
      </c>
    </row>
    <row r="855" spans="1:24" s="195" customFormat="1" ht="31.5">
      <c r="B855" s="208" t="s">
        <v>903</v>
      </c>
      <c r="C855" s="205"/>
      <c r="D855" s="205"/>
      <c r="E855" s="210" t="s">
        <v>902</v>
      </c>
      <c r="F855" s="205" t="s">
        <v>901</v>
      </c>
      <c r="G855" s="203" t="str">
        <f>CONCATENATE(H855,"/",I855,"/",J855,)</f>
        <v>25/3/2011</v>
      </c>
      <c r="H855" s="202">
        <v>25</v>
      </c>
      <c r="I855" s="202">
        <v>3</v>
      </c>
      <c r="J855" s="201">
        <v>2011</v>
      </c>
      <c r="K855" s="195" t="s">
        <v>351</v>
      </c>
      <c r="L855" s="197" t="s">
        <v>900</v>
      </c>
      <c r="M855" s="195" t="s">
        <v>869</v>
      </c>
      <c r="N855" s="207">
        <v>7994.98</v>
      </c>
      <c r="O855" s="199"/>
      <c r="Q855" s="195">
        <v>10</v>
      </c>
      <c r="R855" s="112">
        <f t="shared" si="79"/>
        <v>66.616499999999988</v>
      </c>
      <c r="S855" s="198">
        <f t="shared" si="76"/>
        <v>2464.8104999999996</v>
      </c>
      <c r="T855" s="198">
        <f t="shared" si="80"/>
        <v>5530.1695</v>
      </c>
      <c r="U855" s="209">
        <v>15308</v>
      </c>
      <c r="W855" s="223"/>
      <c r="X855" s="196">
        <f t="shared" si="78"/>
        <v>37</v>
      </c>
    </row>
    <row r="856" spans="1:24" s="195" customFormat="1">
      <c r="B856" s="208" t="s">
        <v>899</v>
      </c>
      <c r="C856" s="205"/>
      <c r="D856" s="205"/>
      <c r="E856" s="210" t="s">
        <v>898</v>
      </c>
      <c r="F856" s="205" t="s">
        <v>89</v>
      </c>
      <c r="G856" s="203" t="str">
        <f>CONCATENATE(H856,"/",I856,"/",J856,)</f>
        <v>1/4/2011</v>
      </c>
      <c r="H856" s="202">
        <v>1</v>
      </c>
      <c r="I856" s="202">
        <v>4</v>
      </c>
      <c r="J856" s="201">
        <v>2011</v>
      </c>
      <c r="K856" s="195" t="s">
        <v>351</v>
      </c>
      <c r="L856" s="197" t="s">
        <v>897</v>
      </c>
      <c r="M856" s="195" t="s">
        <v>869</v>
      </c>
      <c r="N856" s="207">
        <v>8995</v>
      </c>
      <c r="O856" s="199"/>
      <c r="Q856" s="195">
        <v>10</v>
      </c>
      <c r="R856" s="112">
        <f t="shared" si="79"/>
        <v>74.95</v>
      </c>
      <c r="S856" s="198">
        <f t="shared" si="76"/>
        <v>2698.2000000000003</v>
      </c>
      <c r="T856" s="198">
        <f t="shared" si="80"/>
        <v>6296.7999999999993</v>
      </c>
      <c r="U856" s="209">
        <v>15408</v>
      </c>
      <c r="W856" s="223"/>
      <c r="X856" s="196">
        <f t="shared" si="78"/>
        <v>36</v>
      </c>
    </row>
    <row r="857" spans="1:24" s="195" customFormat="1">
      <c r="A857" s="205"/>
      <c r="B857" s="208" t="s">
        <v>896</v>
      </c>
      <c r="C857" s="205"/>
      <c r="D857" s="205"/>
      <c r="E857" s="205"/>
      <c r="F857" s="204" t="s">
        <v>895</v>
      </c>
      <c r="G857" s="203" t="str">
        <f>CONCATENATE(H857,"/",I857,"/",J857,)</f>
        <v>20/5/2011</v>
      </c>
      <c r="H857" s="202">
        <v>20</v>
      </c>
      <c r="I857" s="202">
        <v>5</v>
      </c>
      <c r="J857" s="201">
        <v>2011</v>
      </c>
      <c r="K857" s="195" t="s">
        <v>351</v>
      </c>
      <c r="L857" s="209" t="s">
        <v>894</v>
      </c>
      <c r="M857" s="195" t="s">
        <v>869</v>
      </c>
      <c r="N857" s="207">
        <v>56091.5</v>
      </c>
      <c r="O857" s="199"/>
      <c r="Q857" s="195">
        <v>10</v>
      </c>
      <c r="R857" s="112">
        <f t="shared" si="79"/>
        <v>467.42083333333335</v>
      </c>
      <c r="S857" s="198">
        <f t="shared" si="76"/>
        <v>16359.729166666668</v>
      </c>
      <c r="T857" s="198">
        <f t="shared" si="80"/>
        <v>39731.770833333328</v>
      </c>
      <c r="U857" s="209">
        <v>15607</v>
      </c>
      <c r="W857" s="223"/>
      <c r="X857" s="196">
        <f t="shared" si="78"/>
        <v>35</v>
      </c>
    </row>
    <row r="858" spans="1:24" s="195" customFormat="1">
      <c r="A858" s="205"/>
      <c r="B858" s="208" t="s">
        <v>880</v>
      </c>
      <c r="C858" s="205"/>
      <c r="D858" s="205"/>
      <c r="E858" s="205"/>
      <c r="F858" s="204" t="s">
        <v>893</v>
      </c>
      <c r="G858" s="203">
        <v>40738</v>
      </c>
      <c r="H858" s="202">
        <v>14</v>
      </c>
      <c r="I858" s="202">
        <v>7</v>
      </c>
      <c r="J858" s="201">
        <v>2011</v>
      </c>
      <c r="K858" s="195" t="s">
        <v>351</v>
      </c>
      <c r="L858" s="209" t="s">
        <v>892</v>
      </c>
      <c r="M858" s="195" t="s">
        <v>869</v>
      </c>
      <c r="N858" s="207">
        <v>43938.48</v>
      </c>
      <c r="O858" s="199"/>
      <c r="Q858" s="195">
        <v>10</v>
      </c>
      <c r="R858" s="112">
        <f t="shared" si="79"/>
        <v>366.14566666666673</v>
      </c>
      <c r="S858" s="198">
        <f t="shared" si="76"/>
        <v>12082.807000000003</v>
      </c>
      <c r="T858" s="198">
        <f t="shared" si="80"/>
        <v>31855.673000000003</v>
      </c>
      <c r="U858" s="209"/>
      <c r="W858" s="223"/>
      <c r="X858" s="196">
        <f t="shared" si="78"/>
        <v>33</v>
      </c>
    </row>
    <row r="859" spans="1:24" s="195" customFormat="1">
      <c r="A859" s="205"/>
      <c r="B859" s="208" t="s">
        <v>891</v>
      </c>
      <c r="C859" s="205"/>
      <c r="D859" s="205"/>
      <c r="E859" s="205"/>
      <c r="F859" s="204" t="s">
        <v>871</v>
      </c>
      <c r="G859" s="203" t="str">
        <f t="shared" ref="G859:G864" si="81">CONCATENATE(H859,"/",I859,"/",J859,)</f>
        <v>23/8/2011</v>
      </c>
      <c r="H859" s="202">
        <v>23</v>
      </c>
      <c r="I859" s="202">
        <v>8</v>
      </c>
      <c r="J859" s="201">
        <v>2011</v>
      </c>
      <c r="K859" s="195" t="s">
        <v>351</v>
      </c>
      <c r="L859" s="197" t="s">
        <v>889</v>
      </c>
      <c r="M859" s="195" t="s">
        <v>869</v>
      </c>
      <c r="N859" s="207">
        <v>3995</v>
      </c>
      <c r="O859" s="199"/>
      <c r="Q859" s="195">
        <v>10</v>
      </c>
      <c r="R859" s="112">
        <f t="shared" si="79"/>
        <v>33.283333333333331</v>
      </c>
      <c r="S859" s="198">
        <f t="shared" si="76"/>
        <v>1065.0666666666666</v>
      </c>
      <c r="T859" s="198">
        <f t="shared" si="80"/>
        <v>2929.9333333333334</v>
      </c>
      <c r="U859" s="197">
        <v>16105</v>
      </c>
      <c r="W859" s="223"/>
      <c r="X859" s="196">
        <f t="shared" si="78"/>
        <v>32</v>
      </c>
    </row>
    <row r="860" spans="1:24" s="195" customFormat="1">
      <c r="A860" s="205"/>
      <c r="B860" s="208" t="s">
        <v>890</v>
      </c>
      <c r="C860" s="205"/>
      <c r="D860" s="205"/>
      <c r="E860" s="205"/>
      <c r="F860" s="204" t="s">
        <v>871</v>
      </c>
      <c r="G860" s="203" t="str">
        <f t="shared" si="81"/>
        <v>23/8/2011</v>
      </c>
      <c r="H860" s="202">
        <v>23</v>
      </c>
      <c r="I860" s="202">
        <v>8</v>
      </c>
      <c r="J860" s="201">
        <v>2011</v>
      </c>
      <c r="K860" s="195" t="s">
        <v>351</v>
      </c>
      <c r="L860" s="197" t="s">
        <v>889</v>
      </c>
      <c r="M860" s="195" t="s">
        <v>869</v>
      </c>
      <c r="N860" s="207">
        <v>3795</v>
      </c>
      <c r="O860" s="199"/>
      <c r="Q860" s="195">
        <v>10</v>
      </c>
      <c r="R860" s="112">
        <f t="shared" si="79"/>
        <v>31.616666666666664</v>
      </c>
      <c r="S860" s="198">
        <f t="shared" si="76"/>
        <v>1011.7333333333332</v>
      </c>
      <c r="T860" s="198">
        <f t="shared" si="80"/>
        <v>2783.2666666666669</v>
      </c>
      <c r="U860" s="197">
        <v>16105</v>
      </c>
      <c r="W860" s="223"/>
      <c r="X860" s="196">
        <f t="shared" si="78"/>
        <v>32</v>
      </c>
    </row>
    <row r="861" spans="1:24" s="195" customFormat="1">
      <c r="A861" s="205"/>
      <c r="B861" s="208" t="s">
        <v>888</v>
      </c>
      <c r="C861" s="205"/>
      <c r="D861" s="205"/>
      <c r="E861" s="205"/>
      <c r="F861" s="204" t="s">
        <v>871</v>
      </c>
      <c r="G861" s="203" t="str">
        <f t="shared" si="81"/>
        <v>7/9/2011</v>
      </c>
      <c r="H861" s="202">
        <v>7</v>
      </c>
      <c r="I861" s="202">
        <v>9</v>
      </c>
      <c r="J861" s="201">
        <v>2011</v>
      </c>
      <c r="K861" s="195" t="s">
        <v>351</v>
      </c>
      <c r="L861" s="197" t="s">
        <v>887</v>
      </c>
      <c r="M861" s="195" t="s">
        <v>869</v>
      </c>
      <c r="N861" s="207">
        <v>1595</v>
      </c>
      <c r="O861" s="199"/>
      <c r="Q861" s="195">
        <v>10</v>
      </c>
      <c r="R861" s="112">
        <f t="shared" si="79"/>
        <v>13.283333333333333</v>
      </c>
      <c r="S861" s="198">
        <f t="shared" si="76"/>
        <v>411.7833333333333</v>
      </c>
      <c r="T861" s="198">
        <f t="shared" si="80"/>
        <v>1183.2166666666667</v>
      </c>
      <c r="U861" s="197">
        <v>16236</v>
      </c>
      <c r="W861" s="223"/>
      <c r="X861" s="196">
        <f t="shared" si="78"/>
        <v>31</v>
      </c>
    </row>
    <row r="862" spans="1:24" s="195" customFormat="1">
      <c r="A862" s="205"/>
      <c r="B862" s="208" t="s">
        <v>886</v>
      </c>
      <c r="C862" s="205"/>
      <c r="D862" s="205"/>
      <c r="E862" s="205"/>
      <c r="F862" s="204" t="s">
        <v>871</v>
      </c>
      <c r="G862" s="203" t="str">
        <f t="shared" si="81"/>
        <v>7/9/2011</v>
      </c>
      <c r="H862" s="202">
        <v>7</v>
      </c>
      <c r="I862" s="202">
        <v>9</v>
      </c>
      <c r="J862" s="201">
        <v>2011</v>
      </c>
      <c r="K862" s="195" t="s">
        <v>351</v>
      </c>
      <c r="L862" s="197" t="s">
        <v>885</v>
      </c>
      <c r="M862" s="195" t="s">
        <v>869</v>
      </c>
      <c r="N862" s="207">
        <v>1595</v>
      </c>
      <c r="O862" s="199"/>
      <c r="Q862" s="195">
        <v>10</v>
      </c>
      <c r="R862" s="112">
        <f t="shared" si="79"/>
        <v>13.283333333333333</v>
      </c>
      <c r="S862" s="198">
        <f t="shared" si="76"/>
        <v>411.7833333333333</v>
      </c>
      <c r="T862" s="198">
        <f t="shared" si="80"/>
        <v>1183.2166666666667</v>
      </c>
      <c r="U862" s="197">
        <v>16236</v>
      </c>
      <c r="W862" s="223"/>
      <c r="X862" s="196">
        <f t="shared" si="78"/>
        <v>31</v>
      </c>
    </row>
    <row r="863" spans="1:24" s="195" customFormat="1">
      <c r="A863" s="205"/>
      <c r="B863" s="208" t="s">
        <v>884</v>
      </c>
      <c r="C863" s="205"/>
      <c r="D863" s="205"/>
      <c r="E863" s="205"/>
      <c r="F863" s="204" t="s">
        <v>882</v>
      </c>
      <c r="G863" s="203" t="str">
        <f t="shared" si="81"/>
        <v>7/9/2011</v>
      </c>
      <c r="H863" s="202">
        <v>7</v>
      </c>
      <c r="I863" s="202">
        <v>9</v>
      </c>
      <c r="J863" s="201">
        <v>2011</v>
      </c>
      <c r="K863" s="195" t="s">
        <v>351</v>
      </c>
      <c r="L863" s="197" t="s">
        <v>881</v>
      </c>
      <c r="M863" s="195" t="s">
        <v>869</v>
      </c>
      <c r="N863" s="207">
        <v>18560</v>
      </c>
      <c r="O863" s="199"/>
      <c r="Q863" s="195">
        <v>10</v>
      </c>
      <c r="R863" s="112">
        <f t="shared" si="79"/>
        <v>154.65833333333333</v>
      </c>
      <c r="S863" s="198">
        <f t="shared" si="76"/>
        <v>4794.4083333333328</v>
      </c>
      <c r="T863" s="198">
        <f t="shared" si="80"/>
        <v>13765.591666666667</v>
      </c>
      <c r="U863" s="197">
        <v>16048</v>
      </c>
      <c r="W863" s="223"/>
      <c r="X863" s="196">
        <f t="shared" si="78"/>
        <v>31</v>
      </c>
    </row>
    <row r="864" spans="1:24" s="195" customFormat="1">
      <c r="A864" s="205"/>
      <c r="B864" s="208" t="s">
        <v>883</v>
      </c>
      <c r="C864" s="205"/>
      <c r="D864" s="205"/>
      <c r="E864" s="205"/>
      <c r="F864" s="204" t="s">
        <v>882</v>
      </c>
      <c r="G864" s="203" t="str">
        <f t="shared" si="81"/>
        <v>7/9/2011</v>
      </c>
      <c r="H864" s="202">
        <v>7</v>
      </c>
      <c r="I864" s="202">
        <v>9</v>
      </c>
      <c r="J864" s="201">
        <v>2011</v>
      </c>
      <c r="K864" s="195" t="s">
        <v>351</v>
      </c>
      <c r="L864" s="197" t="s">
        <v>881</v>
      </c>
      <c r="M864" s="195" t="s">
        <v>869</v>
      </c>
      <c r="N864" s="207">
        <v>9744</v>
      </c>
      <c r="O864" s="199"/>
      <c r="Q864" s="195">
        <v>10</v>
      </c>
      <c r="R864" s="112">
        <f t="shared" si="79"/>
        <v>81.191666666666663</v>
      </c>
      <c r="S864" s="198">
        <f t="shared" si="76"/>
        <v>2516.9416666666666</v>
      </c>
      <c r="T864" s="198">
        <f t="shared" si="80"/>
        <v>7227.0583333333334</v>
      </c>
      <c r="U864" s="197">
        <v>16048</v>
      </c>
      <c r="W864" s="223"/>
      <c r="X864" s="196">
        <f t="shared" si="78"/>
        <v>31</v>
      </c>
    </row>
    <row r="865" spans="1:24" s="195" customFormat="1">
      <c r="A865" s="205"/>
      <c r="B865" s="208" t="s">
        <v>880</v>
      </c>
      <c r="C865" s="205"/>
      <c r="D865" s="205"/>
      <c r="E865" s="205"/>
      <c r="F865" s="204" t="s">
        <v>879</v>
      </c>
      <c r="G865" s="203">
        <v>40820</v>
      </c>
      <c r="H865" s="202">
        <v>4</v>
      </c>
      <c r="I865" s="202">
        <v>10</v>
      </c>
      <c r="J865" s="201">
        <v>2011</v>
      </c>
      <c r="K865" s="195" t="s">
        <v>351</v>
      </c>
      <c r="L865" s="197" t="s">
        <v>878</v>
      </c>
      <c r="M865" s="195" t="s">
        <v>869</v>
      </c>
      <c r="N865" s="207">
        <f>82600+13216</f>
        <v>95816</v>
      </c>
      <c r="O865" s="199"/>
      <c r="Q865" s="195">
        <v>10</v>
      </c>
      <c r="R865" s="112">
        <f t="shared" si="79"/>
        <v>798.45833333333337</v>
      </c>
      <c r="S865" s="198">
        <f t="shared" si="76"/>
        <v>23953.75</v>
      </c>
      <c r="T865" s="198">
        <f t="shared" si="80"/>
        <v>71862.25</v>
      </c>
      <c r="U865" s="197"/>
      <c r="W865" s="223"/>
      <c r="X865" s="196">
        <f t="shared" si="78"/>
        <v>30</v>
      </c>
    </row>
    <row r="866" spans="1:24" s="195" customFormat="1" ht="31.5">
      <c r="A866" s="205"/>
      <c r="B866" s="206" t="s">
        <v>877</v>
      </c>
      <c r="C866" s="205"/>
      <c r="D866" s="205"/>
      <c r="E866" s="204"/>
      <c r="F866" s="205" t="s">
        <v>874</v>
      </c>
      <c r="G866" s="203" t="str">
        <f>CONCATENATE(H866,"/",I866,"/",J866,)</f>
        <v>4/10/2011</v>
      </c>
      <c r="H866" s="202">
        <v>4</v>
      </c>
      <c r="I866" s="202">
        <v>10</v>
      </c>
      <c r="J866" s="201">
        <v>2011</v>
      </c>
      <c r="K866" s="195" t="s">
        <v>351</v>
      </c>
      <c r="L866" s="197" t="s">
        <v>873</v>
      </c>
      <c r="M866" s="195" t="s">
        <v>869</v>
      </c>
      <c r="N866" s="200">
        <v>5379.04</v>
      </c>
      <c r="O866" s="199"/>
      <c r="Q866" s="195">
        <v>10</v>
      </c>
      <c r="R866" s="112">
        <f t="shared" si="79"/>
        <v>44.817</v>
      </c>
      <c r="S866" s="198">
        <f t="shared" si="76"/>
        <v>1344.51</v>
      </c>
      <c r="T866" s="198">
        <f t="shared" si="80"/>
        <v>4034.5299999999997</v>
      </c>
      <c r="U866" s="197">
        <v>16181</v>
      </c>
      <c r="W866" s="223"/>
      <c r="X866" s="196">
        <f t="shared" si="78"/>
        <v>30</v>
      </c>
    </row>
    <row r="867" spans="1:24" s="195" customFormat="1" ht="31.5">
      <c r="A867" s="205"/>
      <c r="B867" s="206" t="s">
        <v>876</v>
      </c>
      <c r="C867" s="205"/>
      <c r="D867" s="205"/>
      <c r="E867" s="204"/>
      <c r="F867" s="205" t="s">
        <v>874</v>
      </c>
      <c r="G867" s="203" t="str">
        <f>CONCATENATE(H867,"/",I867,"/",J867,)</f>
        <v>4/10/2011</v>
      </c>
      <c r="H867" s="202">
        <v>4</v>
      </c>
      <c r="I867" s="202">
        <v>10</v>
      </c>
      <c r="J867" s="201">
        <v>2011</v>
      </c>
      <c r="K867" s="195" t="s">
        <v>351</v>
      </c>
      <c r="L867" s="197" t="s">
        <v>873</v>
      </c>
      <c r="M867" s="195" t="s">
        <v>869</v>
      </c>
      <c r="N867" s="200">
        <v>1976.01</v>
      </c>
      <c r="O867" s="199"/>
      <c r="Q867" s="195">
        <v>10</v>
      </c>
      <c r="R867" s="112">
        <f t="shared" si="79"/>
        <v>16.458416666666668</v>
      </c>
      <c r="S867" s="198">
        <f t="shared" si="76"/>
        <v>493.75250000000005</v>
      </c>
      <c r="T867" s="198">
        <f t="shared" si="80"/>
        <v>1482.2574999999999</v>
      </c>
      <c r="U867" s="197">
        <v>16181</v>
      </c>
      <c r="W867" s="223"/>
      <c r="X867" s="196">
        <f t="shared" si="78"/>
        <v>30</v>
      </c>
    </row>
    <row r="868" spans="1:24" s="195" customFormat="1" ht="31.5">
      <c r="A868" s="205"/>
      <c r="B868" s="206" t="s">
        <v>875</v>
      </c>
      <c r="C868" s="205"/>
      <c r="D868" s="205"/>
      <c r="E868" s="204"/>
      <c r="F868" s="205" t="s">
        <v>874</v>
      </c>
      <c r="G868" s="203" t="str">
        <f>CONCATENATE(H868,"/",I868,"/",J868,)</f>
        <v>4/10/2011</v>
      </c>
      <c r="H868" s="202">
        <v>4</v>
      </c>
      <c r="I868" s="202">
        <v>10</v>
      </c>
      <c r="J868" s="201">
        <v>2011</v>
      </c>
      <c r="K868" s="195" t="s">
        <v>351</v>
      </c>
      <c r="L868" s="197" t="s">
        <v>873</v>
      </c>
      <c r="M868" s="195" t="s">
        <v>869</v>
      </c>
      <c r="N868" s="200">
        <v>4839.1099999999997</v>
      </c>
      <c r="O868" s="199"/>
      <c r="Q868" s="195">
        <v>10</v>
      </c>
      <c r="R868" s="112">
        <f t="shared" si="79"/>
        <v>40.317583333333332</v>
      </c>
      <c r="S868" s="198">
        <f t="shared" si="76"/>
        <v>1209.5274999999999</v>
      </c>
      <c r="T868" s="198">
        <f t="shared" si="80"/>
        <v>3629.5824999999995</v>
      </c>
      <c r="U868" s="197">
        <v>16181</v>
      </c>
      <c r="W868" s="223"/>
      <c r="X868" s="196">
        <f t="shared" si="78"/>
        <v>30</v>
      </c>
    </row>
    <row r="869" spans="1:24" s="195" customFormat="1">
      <c r="A869" s="205"/>
      <c r="B869" s="206" t="s">
        <v>872</v>
      </c>
      <c r="C869" s="205"/>
      <c r="D869" s="205"/>
      <c r="E869" s="204"/>
      <c r="F869" s="204" t="s">
        <v>871</v>
      </c>
      <c r="G869" s="203" t="str">
        <f>CONCATENATE(H869,"/",I869,"/",J869,)</f>
        <v>28/10/2011</v>
      </c>
      <c r="H869" s="202">
        <v>28</v>
      </c>
      <c r="I869" s="202">
        <v>10</v>
      </c>
      <c r="J869" s="201">
        <v>2011</v>
      </c>
      <c r="K869" s="195" t="s">
        <v>351</v>
      </c>
      <c r="L869" s="197" t="s">
        <v>870</v>
      </c>
      <c r="M869" s="195" t="s">
        <v>869</v>
      </c>
      <c r="N869" s="200">
        <v>9995</v>
      </c>
      <c r="O869" s="199"/>
      <c r="Q869" s="195">
        <v>10</v>
      </c>
      <c r="R869" s="112">
        <f t="shared" si="79"/>
        <v>83.283333333333331</v>
      </c>
      <c r="S869" s="198">
        <f t="shared" si="76"/>
        <v>2498.5</v>
      </c>
      <c r="T869" s="198">
        <f t="shared" si="80"/>
        <v>7496.5</v>
      </c>
      <c r="U869" s="197">
        <v>16312</v>
      </c>
      <c r="W869" s="223"/>
      <c r="X869" s="196">
        <f t="shared" si="78"/>
        <v>30</v>
      </c>
    </row>
    <row r="870" spans="1:24" s="308" customFormat="1">
      <c r="B870" s="309" t="s">
        <v>924</v>
      </c>
      <c r="E870" s="310"/>
      <c r="F870" s="310"/>
      <c r="G870" s="311" t="str">
        <f>CONCATENATE(H870,"/",I870,"/",J870,)</f>
        <v>//</v>
      </c>
      <c r="L870" s="312"/>
      <c r="N870" s="313">
        <v>1623862</v>
      </c>
      <c r="O870" s="313"/>
      <c r="R870" s="314">
        <v>22548.06</v>
      </c>
      <c r="S870" s="314">
        <f>1139743.46+R870</f>
        <v>1162291.52</v>
      </c>
      <c r="T870" s="314">
        <f>N870-S870</f>
        <v>461570.48</v>
      </c>
    </row>
    <row r="871" spans="1:24" s="188" customFormat="1" ht="16.5" thickBot="1">
      <c r="A871" s="191"/>
      <c r="B871" s="194"/>
      <c r="C871" s="191"/>
      <c r="D871" s="191"/>
      <c r="E871" s="191"/>
      <c r="F871" s="191"/>
      <c r="G871" s="191"/>
      <c r="H871" s="193"/>
      <c r="I871" s="193"/>
      <c r="J871" s="192"/>
      <c r="K871" s="191"/>
      <c r="L871" s="191"/>
      <c r="M871" s="191"/>
      <c r="N871" s="189">
        <f>SUM(N7:N870)</f>
        <v>8046926.4400000079</v>
      </c>
      <c r="O871" s="190"/>
      <c r="R871" s="189">
        <f>SUM(R7:R870)</f>
        <v>76066.405333333445</v>
      </c>
      <c r="S871" s="189">
        <f>SUM(S7:S870)</f>
        <v>5557951.927416658</v>
      </c>
      <c r="T871" s="189">
        <f>SUM(T7:T870)</f>
        <v>2488974.5125833312</v>
      </c>
    </row>
    <row r="872" spans="1:24" s="188" customFormat="1" ht="16.5" thickTop="1">
      <c r="A872" s="191"/>
      <c r="B872" s="194"/>
      <c r="C872" s="191"/>
      <c r="D872" s="191"/>
      <c r="E872" s="191"/>
      <c r="F872" s="191"/>
      <c r="G872" s="191"/>
      <c r="H872" s="193"/>
      <c r="I872" s="193"/>
      <c r="J872" s="192"/>
      <c r="K872" s="191"/>
      <c r="L872" s="191"/>
      <c r="M872" s="191"/>
      <c r="N872" s="301"/>
      <c r="O872" s="190"/>
      <c r="R872" s="301"/>
      <c r="S872" s="301"/>
      <c r="T872" s="301"/>
    </row>
    <row r="873" spans="1:24" s="306" customFormat="1">
      <c r="A873" s="302"/>
      <c r="B873" s="302"/>
      <c r="C873" s="302"/>
      <c r="D873" s="302"/>
      <c r="E873" s="302"/>
      <c r="F873" s="302"/>
      <c r="G873" s="302"/>
      <c r="H873" s="303"/>
      <c r="I873" s="303"/>
      <c r="J873" s="304"/>
      <c r="K873" s="302"/>
      <c r="L873" s="302"/>
      <c r="M873" s="302"/>
      <c r="N873" s="305"/>
      <c r="O873" s="305"/>
      <c r="R873" s="307"/>
      <c r="S873" s="307"/>
      <c r="T873" s="307"/>
    </row>
    <row r="874" spans="1:24" s="221" customFormat="1">
      <c r="A874" s="226"/>
      <c r="B874" s="226" t="s">
        <v>1560</v>
      </c>
      <c r="C874" s="226" t="s">
        <v>2522</v>
      </c>
      <c r="D874" s="226" t="s">
        <v>2523</v>
      </c>
      <c r="E874" s="226"/>
      <c r="F874" s="226" t="s">
        <v>1452</v>
      </c>
      <c r="G874" s="220">
        <v>40934</v>
      </c>
      <c r="H874" s="242">
        <v>26</v>
      </c>
      <c r="I874" s="242">
        <v>1</v>
      </c>
      <c r="J874" s="225">
        <v>2012</v>
      </c>
      <c r="K874" s="226" t="s">
        <v>30</v>
      </c>
      <c r="L874" s="226">
        <v>90120729</v>
      </c>
      <c r="M874" s="226" t="s">
        <v>869</v>
      </c>
      <c r="N874" s="168">
        <v>5481.26</v>
      </c>
      <c r="O874" s="243" t="s">
        <v>1530</v>
      </c>
      <c r="Q874" s="221">
        <v>10</v>
      </c>
      <c r="R874" s="223">
        <f>(N874/Q874)/12</f>
        <v>45.677166666666665</v>
      </c>
      <c r="S874" s="198">
        <f>X874*R874</f>
        <v>1233.2835</v>
      </c>
      <c r="T874" s="223">
        <f>N874-S874</f>
        <v>4247.9765000000007</v>
      </c>
      <c r="U874" s="221">
        <v>16617</v>
      </c>
      <c r="V874" s="233"/>
      <c r="W874" s="222"/>
      <c r="X874" s="196">
        <f>IF((DATEDIF(G874,X$4,"m"))&gt;=120,120,(DATEDIF(G874,X$4,"m")))</f>
        <v>27</v>
      </c>
    </row>
    <row r="875" spans="1:24" s="221" customFormat="1">
      <c r="A875" s="226"/>
      <c r="B875" s="226" t="s">
        <v>1560</v>
      </c>
      <c r="C875" s="226" t="s">
        <v>2522</v>
      </c>
      <c r="D875" s="226" t="s">
        <v>2523</v>
      </c>
      <c r="E875" s="226"/>
      <c r="F875" s="226" t="s">
        <v>1452</v>
      </c>
      <c r="G875" s="220">
        <v>40934</v>
      </c>
      <c r="H875" s="242">
        <v>26</v>
      </c>
      <c r="I875" s="242">
        <v>1</v>
      </c>
      <c r="J875" s="225">
        <v>2012</v>
      </c>
      <c r="K875" s="226" t="s">
        <v>30</v>
      </c>
      <c r="L875" s="226">
        <v>90120729</v>
      </c>
      <c r="M875" s="226" t="s">
        <v>869</v>
      </c>
      <c r="N875" s="168">
        <v>5481.26</v>
      </c>
      <c r="O875" s="243" t="s">
        <v>1530</v>
      </c>
      <c r="Q875" s="221">
        <v>10</v>
      </c>
      <c r="R875" s="223">
        <f t="shared" ref="R875" si="82">(N875/Q875)/12</f>
        <v>45.677166666666665</v>
      </c>
      <c r="S875" s="198">
        <f>X875*R875</f>
        <v>1233.2835</v>
      </c>
      <c r="T875" s="223">
        <f>N875-S875</f>
        <v>4247.9765000000007</v>
      </c>
      <c r="U875" s="221">
        <v>16617</v>
      </c>
      <c r="V875" s="233"/>
      <c r="W875" s="222"/>
      <c r="X875" s="196">
        <f>IF((DATEDIF(G875,X$4,"m"))&gt;=120,120,(DATEDIF(G875,X$4,"m")))</f>
        <v>27</v>
      </c>
    </row>
    <row r="876" spans="1:24" s="221" customFormat="1">
      <c r="A876" s="226"/>
      <c r="B876" s="226"/>
      <c r="C876" s="226"/>
      <c r="D876" s="226"/>
      <c r="E876" s="226"/>
      <c r="F876" s="226"/>
      <c r="G876" s="220"/>
      <c r="H876" s="242"/>
      <c r="I876" s="242"/>
      <c r="J876" s="225"/>
      <c r="K876" s="226"/>
      <c r="L876" s="226"/>
      <c r="M876" s="226"/>
      <c r="N876" s="419">
        <f>SUM(N874:N875)</f>
        <v>10962.52</v>
      </c>
      <c r="O876" s="299"/>
      <c r="P876" s="420"/>
      <c r="Q876" s="420"/>
      <c r="R876" s="421">
        <f>SUM(R874:R875)</f>
        <v>91.354333333333329</v>
      </c>
      <c r="S876" s="421">
        <f>SUM(S874:S875)</f>
        <v>2466.567</v>
      </c>
      <c r="T876" s="421">
        <f>SUM(T874:T875)</f>
        <v>8495.9530000000013</v>
      </c>
      <c r="V876" s="233"/>
      <c r="W876" s="222"/>
      <c r="X876" s="196"/>
    </row>
    <row r="877" spans="1:24" s="221" customFormat="1">
      <c r="A877" s="226"/>
      <c r="B877" s="226"/>
      <c r="C877" s="226"/>
      <c r="D877" s="226"/>
      <c r="E877" s="226"/>
      <c r="F877" s="226"/>
      <c r="G877" s="220"/>
      <c r="H877" s="242"/>
      <c r="I877" s="242"/>
      <c r="J877" s="225"/>
      <c r="K877" s="226"/>
      <c r="L877" s="226"/>
      <c r="M877" s="226"/>
      <c r="N877" s="168"/>
      <c r="O877" s="243"/>
      <c r="R877" s="223"/>
      <c r="S877" s="198"/>
      <c r="T877" s="223"/>
      <c r="V877" s="233"/>
      <c r="W877" s="222"/>
      <c r="X877" s="196"/>
    </row>
    <row r="878" spans="1:24">
      <c r="B878" s="185" t="s">
        <v>2630</v>
      </c>
      <c r="D878" s="185">
        <v>2000</v>
      </c>
      <c r="F878" s="205" t="s">
        <v>874</v>
      </c>
      <c r="G878" s="220">
        <v>41116</v>
      </c>
      <c r="H878" s="187">
        <v>26</v>
      </c>
      <c r="I878" s="187">
        <v>7</v>
      </c>
      <c r="J878" s="186">
        <v>2012</v>
      </c>
      <c r="K878" s="226" t="s">
        <v>30</v>
      </c>
      <c r="L878" s="226" t="s">
        <v>2631</v>
      </c>
      <c r="M878" s="226" t="s">
        <v>869</v>
      </c>
      <c r="N878" s="168">
        <v>7059.35</v>
      </c>
      <c r="O878" s="243" t="s">
        <v>1530</v>
      </c>
      <c r="P878" s="221"/>
      <c r="Q878" s="221">
        <v>10</v>
      </c>
      <c r="R878" s="223">
        <f t="shared" ref="R878:R890" si="83">(N878/Q878)/12</f>
        <v>58.827916666666674</v>
      </c>
      <c r="S878" s="198">
        <f>X878*R878</f>
        <v>1235.3862500000002</v>
      </c>
      <c r="T878" s="223">
        <f>N878-S878</f>
        <v>5823.9637499999999</v>
      </c>
      <c r="U878" s="221">
        <v>17327</v>
      </c>
      <c r="V878" s="233"/>
      <c r="W878" s="222"/>
      <c r="X878" s="196">
        <f>IF((DATEDIF(G878,X$4,"m"))&gt;=120,120,(DATEDIF(G878,X$4,"m")))</f>
        <v>21</v>
      </c>
    </row>
    <row r="879" spans="1:24">
      <c r="B879" s="185" t="s">
        <v>2630</v>
      </c>
      <c r="D879" s="185">
        <v>2000</v>
      </c>
      <c r="F879" s="205" t="s">
        <v>874</v>
      </c>
      <c r="G879" s="220">
        <v>41116</v>
      </c>
      <c r="H879" s="187">
        <v>26</v>
      </c>
      <c r="I879" s="187">
        <v>7</v>
      </c>
      <c r="J879" s="186">
        <v>2012</v>
      </c>
      <c r="K879" s="226" t="s">
        <v>30</v>
      </c>
      <c r="L879" s="226" t="s">
        <v>2631</v>
      </c>
      <c r="M879" s="226" t="s">
        <v>869</v>
      </c>
      <c r="N879" s="168">
        <v>7059.35</v>
      </c>
      <c r="O879" s="243" t="s">
        <v>1530</v>
      </c>
      <c r="P879" s="221"/>
      <c r="Q879" s="221">
        <v>10</v>
      </c>
      <c r="R879" s="223">
        <f t="shared" si="83"/>
        <v>58.827916666666674</v>
      </c>
      <c r="S879" s="198">
        <f t="shared" ref="S879:S882" si="84">X879*R879</f>
        <v>1235.3862500000002</v>
      </c>
      <c r="T879" s="223">
        <f t="shared" ref="T879:T882" si="85">N879-S879</f>
        <v>5823.9637499999999</v>
      </c>
      <c r="U879" s="221">
        <v>17327</v>
      </c>
      <c r="V879" s="233"/>
      <c r="W879" s="222"/>
      <c r="X879" s="196">
        <f t="shared" ref="X879:X882" si="86">IF((DATEDIF(G879,X$4,"m"))&gt;=120,120,(DATEDIF(G879,X$4,"m")))</f>
        <v>21</v>
      </c>
    </row>
    <row r="880" spans="1:24">
      <c r="B880" s="185" t="s">
        <v>2630</v>
      </c>
      <c r="D880" s="185">
        <v>2000</v>
      </c>
      <c r="F880" s="205" t="s">
        <v>874</v>
      </c>
      <c r="G880" s="220">
        <v>41116</v>
      </c>
      <c r="H880" s="187">
        <v>26</v>
      </c>
      <c r="I880" s="187">
        <v>7</v>
      </c>
      <c r="J880" s="186">
        <v>2012</v>
      </c>
      <c r="K880" s="226" t="s">
        <v>30</v>
      </c>
      <c r="L880" s="226" t="s">
        <v>2631</v>
      </c>
      <c r="M880" s="226" t="s">
        <v>869</v>
      </c>
      <c r="N880" s="168">
        <v>7059.35</v>
      </c>
      <c r="O880" s="243" t="s">
        <v>1530</v>
      </c>
      <c r="P880" s="221"/>
      <c r="Q880" s="221">
        <v>10</v>
      </c>
      <c r="R880" s="223">
        <f t="shared" si="83"/>
        <v>58.827916666666674</v>
      </c>
      <c r="S880" s="198">
        <f t="shared" si="84"/>
        <v>1235.3862500000002</v>
      </c>
      <c r="T880" s="223">
        <f t="shared" si="85"/>
        <v>5823.9637499999999</v>
      </c>
      <c r="U880" s="221">
        <v>17327</v>
      </c>
      <c r="V880" s="233"/>
      <c r="W880" s="222"/>
      <c r="X880" s="196">
        <f t="shared" si="86"/>
        <v>21</v>
      </c>
    </row>
    <row r="881" spans="2:24">
      <c r="B881" s="185" t="s">
        <v>2630</v>
      </c>
      <c r="D881" s="185">
        <v>2000</v>
      </c>
      <c r="F881" s="205" t="s">
        <v>874</v>
      </c>
      <c r="G881" s="220">
        <v>41116</v>
      </c>
      <c r="H881" s="187">
        <v>26</v>
      </c>
      <c r="I881" s="187">
        <v>7</v>
      </c>
      <c r="J881" s="186">
        <v>2012</v>
      </c>
      <c r="K881" s="226" t="s">
        <v>30</v>
      </c>
      <c r="L881" s="226" t="s">
        <v>2631</v>
      </c>
      <c r="M881" s="226" t="s">
        <v>869</v>
      </c>
      <c r="N881" s="168">
        <v>7059.35</v>
      </c>
      <c r="O881" s="243" t="s">
        <v>1530</v>
      </c>
      <c r="P881" s="221"/>
      <c r="Q881" s="221">
        <v>10</v>
      </c>
      <c r="R881" s="223">
        <f t="shared" si="83"/>
        <v>58.827916666666674</v>
      </c>
      <c r="S881" s="198">
        <f t="shared" si="84"/>
        <v>1235.3862500000002</v>
      </c>
      <c r="T881" s="223">
        <f t="shared" si="85"/>
        <v>5823.9637499999999</v>
      </c>
      <c r="U881" s="221">
        <v>17327</v>
      </c>
      <c r="V881" s="233"/>
      <c r="W881" s="222"/>
      <c r="X881" s="196">
        <f t="shared" si="86"/>
        <v>21</v>
      </c>
    </row>
    <row r="882" spans="2:24">
      <c r="B882" s="185" t="s">
        <v>2630</v>
      </c>
      <c r="D882" s="185">
        <v>2000</v>
      </c>
      <c r="F882" s="205" t="s">
        <v>874</v>
      </c>
      <c r="G882" s="220">
        <v>41116</v>
      </c>
      <c r="H882" s="187">
        <v>26</v>
      </c>
      <c r="I882" s="187">
        <v>7</v>
      </c>
      <c r="J882" s="186">
        <v>2012</v>
      </c>
      <c r="K882" s="226" t="s">
        <v>30</v>
      </c>
      <c r="L882" s="226" t="s">
        <v>2631</v>
      </c>
      <c r="M882" s="226" t="s">
        <v>869</v>
      </c>
      <c r="N882" s="168">
        <v>7059.35</v>
      </c>
      <c r="O882" s="243" t="s">
        <v>1530</v>
      </c>
      <c r="P882" s="221"/>
      <c r="Q882" s="221">
        <v>10</v>
      </c>
      <c r="R882" s="223">
        <f t="shared" si="83"/>
        <v>58.827916666666674</v>
      </c>
      <c r="S882" s="198">
        <f t="shared" si="84"/>
        <v>1235.3862500000002</v>
      </c>
      <c r="T882" s="223">
        <f t="shared" si="85"/>
        <v>5823.9637499999999</v>
      </c>
      <c r="U882" s="221">
        <v>17327</v>
      </c>
      <c r="V882" s="233"/>
      <c r="W882" s="222"/>
      <c r="X882" s="196">
        <f t="shared" si="86"/>
        <v>21</v>
      </c>
    </row>
    <row r="883" spans="2:24">
      <c r="B883" s="185" t="s">
        <v>2632</v>
      </c>
      <c r="D883" s="185">
        <v>2000</v>
      </c>
      <c r="F883" s="205" t="s">
        <v>874</v>
      </c>
      <c r="G883" s="220">
        <v>41116</v>
      </c>
      <c r="H883" s="187">
        <v>26</v>
      </c>
      <c r="I883" s="187">
        <v>7</v>
      </c>
      <c r="J883" s="186">
        <v>2012</v>
      </c>
      <c r="K883" s="226" t="s">
        <v>30</v>
      </c>
      <c r="L883" s="226" t="s">
        <v>2631</v>
      </c>
      <c r="M883" s="226" t="s">
        <v>869</v>
      </c>
      <c r="N883" s="168">
        <v>7871.77</v>
      </c>
      <c r="O883" s="243" t="s">
        <v>1530</v>
      </c>
      <c r="P883" s="221"/>
      <c r="Q883" s="221">
        <v>10</v>
      </c>
      <c r="R883" s="223">
        <f t="shared" si="83"/>
        <v>65.598083333333335</v>
      </c>
      <c r="S883" s="198">
        <f t="shared" ref="S883" si="87">X883*R883</f>
        <v>1377.5597500000001</v>
      </c>
      <c r="T883" s="223">
        <f t="shared" ref="T883" si="88">N883-S883</f>
        <v>6494.2102500000001</v>
      </c>
      <c r="U883" s="221">
        <v>17327</v>
      </c>
      <c r="V883" s="233"/>
      <c r="W883" s="222"/>
      <c r="X883" s="196">
        <f t="shared" ref="X883" si="89">IF((DATEDIF(G883,X$4,"m"))&gt;=120,120,(DATEDIF(G883,X$4,"m")))</f>
        <v>21</v>
      </c>
    </row>
    <row r="884" spans="2:24">
      <c r="B884" s="185" t="s">
        <v>2633</v>
      </c>
      <c r="D884" s="185" t="s">
        <v>2634</v>
      </c>
      <c r="F884" s="205" t="s">
        <v>874</v>
      </c>
      <c r="G884" s="220">
        <v>41116</v>
      </c>
      <c r="H884" s="187">
        <v>26</v>
      </c>
      <c r="I884" s="187">
        <v>7</v>
      </c>
      <c r="J884" s="186">
        <v>2012</v>
      </c>
      <c r="K884" s="226" t="s">
        <v>30</v>
      </c>
      <c r="L884" s="226" t="s">
        <v>2631</v>
      </c>
      <c r="M884" s="226" t="s">
        <v>869</v>
      </c>
      <c r="N884" s="168">
        <v>3024.58</v>
      </c>
      <c r="O884" s="243" t="s">
        <v>1530</v>
      </c>
      <c r="P884" s="221"/>
      <c r="Q884" s="221">
        <v>10</v>
      </c>
      <c r="R884" s="223">
        <f t="shared" si="83"/>
        <v>25.20483333333333</v>
      </c>
      <c r="S884" s="198">
        <f t="shared" ref="S884" si="90">X884*R884</f>
        <v>529.30149999999992</v>
      </c>
      <c r="T884" s="223">
        <f t="shared" ref="T884" si="91">N884-S884</f>
        <v>2495.2784999999999</v>
      </c>
      <c r="U884" s="221">
        <v>17327</v>
      </c>
      <c r="V884" s="233"/>
      <c r="W884" s="222"/>
      <c r="X884" s="196">
        <f t="shared" ref="X884" si="92">IF((DATEDIF(G884,X$4,"m"))&gt;=120,120,(DATEDIF(G884,X$4,"m")))</f>
        <v>21</v>
      </c>
    </row>
    <row r="885" spans="2:24">
      <c r="B885" s="185" t="s">
        <v>2635</v>
      </c>
      <c r="F885" s="205" t="s">
        <v>874</v>
      </c>
      <c r="G885" s="220">
        <v>41116</v>
      </c>
      <c r="H885" s="187">
        <v>26</v>
      </c>
      <c r="I885" s="187">
        <v>7</v>
      </c>
      <c r="J885" s="186">
        <v>2012</v>
      </c>
      <c r="K885" s="226" t="s">
        <v>30</v>
      </c>
      <c r="L885" s="226" t="s">
        <v>2631</v>
      </c>
      <c r="M885" s="226" t="s">
        <v>869</v>
      </c>
      <c r="N885" s="168">
        <v>655.98</v>
      </c>
      <c r="O885" s="243" t="s">
        <v>1530</v>
      </c>
      <c r="P885" s="221"/>
      <c r="Q885" s="221">
        <v>10</v>
      </c>
      <c r="R885" s="223">
        <f t="shared" si="83"/>
        <v>5.4664999999999999</v>
      </c>
      <c r="S885" s="198">
        <f t="shared" ref="S885" si="93">X885*R885</f>
        <v>114.79649999999999</v>
      </c>
      <c r="T885" s="223">
        <f t="shared" ref="T885" si="94">N885-S885</f>
        <v>541.18349999999998</v>
      </c>
      <c r="U885" s="221">
        <v>17327</v>
      </c>
      <c r="V885" s="233"/>
      <c r="W885" s="222"/>
      <c r="X885" s="196">
        <f t="shared" ref="X885" si="95">IF((DATEDIF(G885,X$4,"m"))&gt;=120,120,(DATEDIF(G885,X$4,"m")))</f>
        <v>21</v>
      </c>
    </row>
    <row r="886" spans="2:24">
      <c r="B886" s="185" t="s">
        <v>2635</v>
      </c>
      <c r="F886" s="205" t="s">
        <v>874</v>
      </c>
      <c r="G886" s="220">
        <v>41116</v>
      </c>
      <c r="H886" s="187">
        <v>26</v>
      </c>
      <c r="I886" s="187">
        <v>7</v>
      </c>
      <c r="J886" s="186">
        <v>2012</v>
      </c>
      <c r="K886" s="226" t="s">
        <v>30</v>
      </c>
      <c r="L886" s="226" t="s">
        <v>2631</v>
      </c>
      <c r="M886" s="226" t="s">
        <v>869</v>
      </c>
      <c r="N886" s="168">
        <v>655.98</v>
      </c>
      <c r="O886" s="243" t="s">
        <v>1530</v>
      </c>
      <c r="P886" s="221"/>
      <c r="Q886" s="221">
        <v>10</v>
      </c>
      <c r="R886" s="223">
        <f t="shared" si="83"/>
        <v>5.4664999999999999</v>
      </c>
      <c r="S886" s="198">
        <f t="shared" ref="S886:S890" si="96">X886*R886</f>
        <v>114.79649999999999</v>
      </c>
      <c r="T886" s="223">
        <f t="shared" ref="T886:T890" si="97">N886-S886</f>
        <v>541.18349999999998</v>
      </c>
      <c r="U886" s="221">
        <v>17327</v>
      </c>
      <c r="V886" s="233"/>
      <c r="W886" s="222"/>
      <c r="X886" s="196">
        <f t="shared" ref="X886:X890" si="98">IF((DATEDIF(G886,X$4,"m"))&gt;=120,120,(DATEDIF(G886,X$4,"m")))</f>
        <v>21</v>
      </c>
    </row>
    <row r="887" spans="2:24">
      <c r="B887" s="185" t="s">
        <v>2635</v>
      </c>
      <c r="F887" s="205" t="s">
        <v>874</v>
      </c>
      <c r="G887" s="220">
        <v>41116</v>
      </c>
      <c r="H887" s="187">
        <v>26</v>
      </c>
      <c r="I887" s="187">
        <v>7</v>
      </c>
      <c r="J887" s="186">
        <v>2012</v>
      </c>
      <c r="K887" s="226" t="s">
        <v>30</v>
      </c>
      <c r="L887" s="226" t="s">
        <v>2631</v>
      </c>
      <c r="M887" s="226" t="s">
        <v>869</v>
      </c>
      <c r="N887" s="168">
        <v>655.98</v>
      </c>
      <c r="O887" s="243" t="s">
        <v>1530</v>
      </c>
      <c r="P887" s="221"/>
      <c r="Q887" s="221">
        <v>10</v>
      </c>
      <c r="R887" s="223">
        <f t="shared" si="83"/>
        <v>5.4664999999999999</v>
      </c>
      <c r="S887" s="198">
        <f t="shared" si="96"/>
        <v>114.79649999999999</v>
      </c>
      <c r="T887" s="223">
        <f t="shared" si="97"/>
        <v>541.18349999999998</v>
      </c>
      <c r="U887" s="221">
        <v>17327</v>
      </c>
      <c r="V887" s="233"/>
      <c r="W887" s="222"/>
      <c r="X887" s="196">
        <f t="shared" si="98"/>
        <v>21</v>
      </c>
    </row>
    <row r="888" spans="2:24">
      <c r="B888" s="185" t="s">
        <v>2635</v>
      </c>
      <c r="F888" s="205" t="s">
        <v>874</v>
      </c>
      <c r="G888" s="220">
        <v>41116</v>
      </c>
      <c r="H888" s="187">
        <v>26</v>
      </c>
      <c r="I888" s="187">
        <v>7</v>
      </c>
      <c r="J888" s="186">
        <v>2012</v>
      </c>
      <c r="K888" s="226" t="s">
        <v>30</v>
      </c>
      <c r="L888" s="226" t="s">
        <v>2631</v>
      </c>
      <c r="M888" s="226" t="s">
        <v>869</v>
      </c>
      <c r="N888" s="168">
        <v>655.98</v>
      </c>
      <c r="O888" s="243" t="s">
        <v>1530</v>
      </c>
      <c r="P888" s="221"/>
      <c r="Q888" s="221">
        <v>10</v>
      </c>
      <c r="R888" s="223">
        <f t="shared" si="83"/>
        <v>5.4664999999999999</v>
      </c>
      <c r="S888" s="198">
        <f t="shared" si="96"/>
        <v>114.79649999999999</v>
      </c>
      <c r="T888" s="223">
        <f t="shared" si="97"/>
        <v>541.18349999999998</v>
      </c>
      <c r="U888" s="221">
        <v>17327</v>
      </c>
      <c r="V888" s="233"/>
      <c r="W888" s="222"/>
      <c r="X888" s="196">
        <f t="shared" si="98"/>
        <v>21</v>
      </c>
    </row>
    <row r="889" spans="2:24">
      <c r="B889" s="185" t="s">
        <v>2635</v>
      </c>
      <c r="F889" s="205" t="s">
        <v>874</v>
      </c>
      <c r="G889" s="220">
        <v>41116</v>
      </c>
      <c r="H889" s="187">
        <v>26</v>
      </c>
      <c r="I889" s="187">
        <v>7</v>
      </c>
      <c r="J889" s="186">
        <v>2012</v>
      </c>
      <c r="K889" s="226" t="s">
        <v>30</v>
      </c>
      <c r="L889" s="226" t="s">
        <v>2631</v>
      </c>
      <c r="M889" s="226" t="s">
        <v>869</v>
      </c>
      <c r="N889" s="168">
        <v>655.98</v>
      </c>
      <c r="O889" s="243" t="s">
        <v>1530</v>
      </c>
      <c r="P889" s="221"/>
      <c r="Q889" s="221">
        <v>10</v>
      </c>
      <c r="R889" s="223">
        <f t="shared" si="83"/>
        <v>5.4664999999999999</v>
      </c>
      <c r="S889" s="198">
        <f t="shared" si="96"/>
        <v>114.79649999999999</v>
      </c>
      <c r="T889" s="223">
        <f t="shared" si="97"/>
        <v>541.18349999999998</v>
      </c>
      <c r="U889" s="221">
        <v>17327</v>
      </c>
      <c r="V889" s="233"/>
      <c r="W889" s="222"/>
      <c r="X889" s="196">
        <f t="shared" si="98"/>
        <v>21</v>
      </c>
    </row>
    <row r="890" spans="2:24">
      <c r="B890" s="185" t="s">
        <v>2636</v>
      </c>
      <c r="D890" s="185">
        <v>2000</v>
      </c>
      <c r="F890" s="205" t="s">
        <v>874</v>
      </c>
      <c r="G890" s="220">
        <v>41121</v>
      </c>
      <c r="H890" s="187">
        <v>31</v>
      </c>
      <c r="I890" s="187">
        <v>7</v>
      </c>
      <c r="J890" s="186">
        <v>2012</v>
      </c>
      <c r="K890" s="226" t="s">
        <v>30</v>
      </c>
      <c r="L890" s="226" t="s">
        <v>2637</v>
      </c>
      <c r="M890" s="226" t="s">
        <v>869</v>
      </c>
      <c r="N890" s="168">
        <v>10089.98</v>
      </c>
      <c r="O890" s="243" t="s">
        <v>1530</v>
      </c>
      <c r="P890" s="221"/>
      <c r="Q890" s="221">
        <v>10</v>
      </c>
      <c r="R890" s="223">
        <f t="shared" si="83"/>
        <v>84.083166666666656</v>
      </c>
      <c r="S890" s="198">
        <f t="shared" si="96"/>
        <v>1681.6633333333332</v>
      </c>
      <c r="T890" s="223">
        <f t="shared" si="97"/>
        <v>8408.3166666666657</v>
      </c>
      <c r="U890" s="221">
        <v>17327</v>
      </c>
      <c r="V890" s="233"/>
      <c r="W890" s="222"/>
      <c r="X890" s="196">
        <f t="shared" si="98"/>
        <v>20</v>
      </c>
    </row>
    <row r="891" spans="2:24">
      <c r="N891" s="419">
        <f>SUM(N878:P890)</f>
        <v>59562.980000000025</v>
      </c>
      <c r="O891" s="299"/>
      <c r="P891" s="420"/>
      <c r="Q891" s="420"/>
      <c r="R891" s="421">
        <f>SUM(R878:R890)</f>
        <v>496.35816666666665</v>
      </c>
      <c r="S891" s="421">
        <f>SUM(S878:S890)</f>
        <v>10339.438333333337</v>
      </c>
      <c r="T891" s="421">
        <f>SUM(T878:T890)</f>
        <v>49223.541666666657</v>
      </c>
    </row>
    <row r="893" spans="2:24">
      <c r="B893" s="185" t="s">
        <v>2639</v>
      </c>
      <c r="F893" s="185" t="s">
        <v>2653</v>
      </c>
      <c r="G893" s="220">
        <v>41131</v>
      </c>
      <c r="H893" s="187">
        <v>10</v>
      </c>
      <c r="I893" s="187">
        <v>8</v>
      </c>
      <c r="J893" s="186">
        <v>2012</v>
      </c>
      <c r="K893" s="226" t="s">
        <v>30</v>
      </c>
      <c r="L893" s="226" t="s">
        <v>2638</v>
      </c>
      <c r="M893" s="226" t="s">
        <v>869</v>
      </c>
      <c r="N893" s="184">
        <v>12374.999711999999</v>
      </c>
      <c r="Q893" s="221">
        <v>10</v>
      </c>
      <c r="R893" s="223">
        <f t="shared" ref="R893:R956" si="99">(N893/Q893)/12</f>
        <v>103.12499759999999</v>
      </c>
      <c r="S893" s="198">
        <f>X893*R893</f>
        <v>2062.4999519999997</v>
      </c>
      <c r="T893" s="223">
        <f t="shared" ref="T893" si="100">N893-S893</f>
        <v>10312.499759999999</v>
      </c>
      <c r="U893" s="221">
        <v>17317</v>
      </c>
      <c r="X893" s="196">
        <f t="shared" ref="X893:X956" si="101">IF((DATEDIF(G893,X$4,"m"))&gt;=120,120,(DATEDIF(G893,X$4,"m")))</f>
        <v>20</v>
      </c>
    </row>
    <row r="894" spans="2:24">
      <c r="B894" s="185" t="s">
        <v>2639</v>
      </c>
      <c r="F894" s="185" t="s">
        <v>2653</v>
      </c>
      <c r="G894" s="220">
        <v>41131</v>
      </c>
      <c r="H894" s="187">
        <v>10</v>
      </c>
      <c r="I894" s="187">
        <v>8</v>
      </c>
      <c r="J894" s="186">
        <v>2012</v>
      </c>
      <c r="K894" s="226" t="s">
        <v>30</v>
      </c>
      <c r="L894" s="226" t="s">
        <v>2638</v>
      </c>
      <c r="M894" s="226" t="s">
        <v>869</v>
      </c>
      <c r="N894" s="184">
        <v>12375.043559999998</v>
      </c>
      <c r="Q894" s="221">
        <v>10</v>
      </c>
      <c r="R894" s="223">
        <f t="shared" si="99"/>
        <v>103.12536299999999</v>
      </c>
      <c r="S894" s="198">
        <f t="shared" ref="S894:S944" si="102">X894*R894</f>
        <v>2062.5072599999999</v>
      </c>
      <c r="T894" s="223">
        <f t="shared" ref="T894:T944" si="103">N894-S894</f>
        <v>10312.536299999998</v>
      </c>
      <c r="U894" s="221">
        <v>17317</v>
      </c>
      <c r="X894" s="196">
        <f t="shared" si="101"/>
        <v>20</v>
      </c>
    </row>
    <row r="895" spans="2:24">
      <c r="B895" s="185" t="s">
        <v>2639</v>
      </c>
      <c r="F895" s="185" t="s">
        <v>2653</v>
      </c>
      <c r="G895" s="220">
        <v>41131</v>
      </c>
      <c r="H895" s="187">
        <v>10</v>
      </c>
      <c r="I895" s="187">
        <v>8</v>
      </c>
      <c r="J895" s="186">
        <v>2012</v>
      </c>
      <c r="K895" s="226" t="s">
        <v>30</v>
      </c>
      <c r="L895" s="226" t="s">
        <v>2638</v>
      </c>
      <c r="M895" s="226" t="s">
        <v>869</v>
      </c>
      <c r="N895" s="184">
        <v>12375.043559999998</v>
      </c>
      <c r="Q895" s="221">
        <v>10</v>
      </c>
      <c r="R895" s="223">
        <f t="shared" si="99"/>
        <v>103.12536299999999</v>
      </c>
      <c r="S895" s="198">
        <f t="shared" si="102"/>
        <v>2062.5072599999999</v>
      </c>
      <c r="T895" s="223">
        <f t="shared" si="103"/>
        <v>10312.536299999998</v>
      </c>
      <c r="U895" s="221">
        <v>17317</v>
      </c>
      <c r="X895" s="196">
        <f t="shared" si="101"/>
        <v>20</v>
      </c>
    </row>
    <row r="896" spans="2:24">
      <c r="B896" s="185" t="s">
        <v>2639</v>
      </c>
      <c r="F896" s="185" t="s">
        <v>2653</v>
      </c>
      <c r="G896" s="220">
        <v>41131</v>
      </c>
      <c r="H896" s="187">
        <v>10</v>
      </c>
      <c r="I896" s="187">
        <v>8</v>
      </c>
      <c r="J896" s="186">
        <v>2012</v>
      </c>
      <c r="K896" s="226" t="s">
        <v>30</v>
      </c>
      <c r="L896" s="226" t="s">
        <v>2638</v>
      </c>
      <c r="M896" s="226" t="s">
        <v>869</v>
      </c>
      <c r="N896" s="184">
        <v>12375.043559999998</v>
      </c>
      <c r="Q896" s="221">
        <v>10</v>
      </c>
      <c r="R896" s="223">
        <f t="shared" si="99"/>
        <v>103.12536299999999</v>
      </c>
      <c r="S896" s="198">
        <f t="shared" si="102"/>
        <v>2062.5072599999999</v>
      </c>
      <c r="T896" s="223">
        <f t="shared" si="103"/>
        <v>10312.536299999998</v>
      </c>
      <c r="U896" s="221">
        <v>17317</v>
      </c>
      <c r="X896" s="196">
        <f t="shared" si="101"/>
        <v>20</v>
      </c>
    </row>
    <row r="897" spans="2:24">
      <c r="B897" s="185" t="s">
        <v>2640</v>
      </c>
      <c r="F897" s="185" t="s">
        <v>2653</v>
      </c>
      <c r="G897" s="220">
        <v>41131</v>
      </c>
      <c r="H897" s="187">
        <v>10</v>
      </c>
      <c r="I897" s="187">
        <v>8</v>
      </c>
      <c r="J897" s="186">
        <v>2012</v>
      </c>
      <c r="K897" s="226" t="s">
        <v>30</v>
      </c>
      <c r="L897" s="226" t="s">
        <v>2638</v>
      </c>
      <c r="M897" s="226" t="s">
        <v>869</v>
      </c>
      <c r="N897" s="184">
        <v>6992.9990999999991</v>
      </c>
      <c r="Q897" s="221">
        <v>10</v>
      </c>
      <c r="R897" s="223">
        <f t="shared" si="99"/>
        <v>58.274992499999996</v>
      </c>
      <c r="S897" s="198">
        <f t="shared" si="102"/>
        <v>1165.4998499999999</v>
      </c>
      <c r="T897" s="223">
        <f t="shared" si="103"/>
        <v>5827.4992499999989</v>
      </c>
      <c r="U897" s="221">
        <v>17317</v>
      </c>
      <c r="X897" s="196">
        <f t="shared" si="101"/>
        <v>20</v>
      </c>
    </row>
    <row r="898" spans="2:24">
      <c r="B898" s="185" t="s">
        <v>2640</v>
      </c>
      <c r="F898" s="185" t="s">
        <v>2653</v>
      </c>
      <c r="G898" s="220">
        <v>41131</v>
      </c>
      <c r="H898" s="187">
        <v>10</v>
      </c>
      <c r="I898" s="187">
        <v>8</v>
      </c>
      <c r="J898" s="186">
        <v>2012</v>
      </c>
      <c r="K898" s="226" t="s">
        <v>30</v>
      </c>
      <c r="L898" s="226" t="s">
        <v>2638</v>
      </c>
      <c r="M898" s="226" t="s">
        <v>869</v>
      </c>
      <c r="N898" s="184">
        <v>6992.9990999999991</v>
      </c>
      <c r="Q898" s="221">
        <v>10</v>
      </c>
      <c r="R898" s="223">
        <f t="shared" si="99"/>
        <v>58.274992499999996</v>
      </c>
      <c r="S898" s="198">
        <f t="shared" si="102"/>
        <v>1165.4998499999999</v>
      </c>
      <c r="T898" s="223">
        <f t="shared" si="103"/>
        <v>5827.4992499999989</v>
      </c>
      <c r="U898" s="221">
        <v>17317</v>
      </c>
      <c r="X898" s="196">
        <f t="shared" si="101"/>
        <v>20</v>
      </c>
    </row>
    <row r="899" spans="2:24">
      <c r="B899" s="185" t="s">
        <v>2640</v>
      </c>
      <c r="F899" s="185" t="s">
        <v>2653</v>
      </c>
      <c r="G899" s="220">
        <v>41131</v>
      </c>
      <c r="H899" s="187">
        <v>10</v>
      </c>
      <c r="I899" s="187">
        <v>8</v>
      </c>
      <c r="J899" s="186">
        <v>2012</v>
      </c>
      <c r="K899" s="226" t="s">
        <v>30</v>
      </c>
      <c r="L899" s="226" t="s">
        <v>2638</v>
      </c>
      <c r="M899" s="226" t="s">
        <v>869</v>
      </c>
      <c r="N899" s="184">
        <v>6992.9990999999991</v>
      </c>
      <c r="Q899" s="221">
        <v>10</v>
      </c>
      <c r="R899" s="223">
        <f t="shared" si="99"/>
        <v>58.274992499999996</v>
      </c>
      <c r="S899" s="198">
        <f t="shared" si="102"/>
        <v>1165.4998499999999</v>
      </c>
      <c r="T899" s="223">
        <f t="shared" si="103"/>
        <v>5827.4992499999989</v>
      </c>
      <c r="U899" s="221">
        <v>17317</v>
      </c>
      <c r="X899" s="196">
        <f t="shared" si="101"/>
        <v>20</v>
      </c>
    </row>
    <row r="900" spans="2:24">
      <c r="B900" s="185" t="s">
        <v>2640</v>
      </c>
      <c r="F900" s="185" t="s">
        <v>2653</v>
      </c>
      <c r="G900" s="220">
        <v>41131</v>
      </c>
      <c r="H900" s="187">
        <v>10</v>
      </c>
      <c r="I900" s="187">
        <v>8</v>
      </c>
      <c r="J900" s="186">
        <v>2012</v>
      </c>
      <c r="K900" s="226" t="s">
        <v>30</v>
      </c>
      <c r="L900" s="226" t="s">
        <v>2638</v>
      </c>
      <c r="M900" s="226" t="s">
        <v>869</v>
      </c>
      <c r="N900" s="184">
        <v>6992.9990999999991</v>
      </c>
      <c r="Q900" s="221">
        <v>10</v>
      </c>
      <c r="R900" s="223">
        <f t="shared" si="99"/>
        <v>58.274992499999996</v>
      </c>
      <c r="S900" s="198">
        <f t="shared" si="102"/>
        <v>1165.4998499999999</v>
      </c>
      <c r="T900" s="223">
        <f t="shared" si="103"/>
        <v>5827.4992499999989</v>
      </c>
      <c r="U900" s="221">
        <v>17317</v>
      </c>
      <c r="X900" s="196">
        <f t="shared" si="101"/>
        <v>20</v>
      </c>
    </row>
    <row r="901" spans="2:24">
      <c r="B901" s="185" t="s">
        <v>2640</v>
      </c>
      <c r="F901" s="185" t="s">
        <v>2653</v>
      </c>
      <c r="G901" s="220">
        <v>41131</v>
      </c>
      <c r="H901" s="187">
        <v>10</v>
      </c>
      <c r="I901" s="187">
        <v>8</v>
      </c>
      <c r="J901" s="186">
        <v>2012</v>
      </c>
      <c r="K901" s="226" t="s">
        <v>30</v>
      </c>
      <c r="L901" s="226" t="s">
        <v>2638</v>
      </c>
      <c r="M901" s="226" t="s">
        <v>869</v>
      </c>
      <c r="N901" s="184">
        <v>6992.9990999999991</v>
      </c>
      <c r="Q901" s="221">
        <v>10</v>
      </c>
      <c r="R901" s="223">
        <f t="shared" si="99"/>
        <v>58.274992499999996</v>
      </c>
      <c r="S901" s="198">
        <f t="shared" si="102"/>
        <v>1165.4998499999999</v>
      </c>
      <c r="T901" s="223">
        <f t="shared" si="103"/>
        <v>5827.4992499999989</v>
      </c>
      <c r="U901" s="221">
        <v>17317</v>
      </c>
      <c r="X901" s="196">
        <f t="shared" si="101"/>
        <v>20</v>
      </c>
    </row>
    <row r="902" spans="2:24">
      <c r="B902" s="185" t="s">
        <v>2640</v>
      </c>
      <c r="F902" s="185" t="s">
        <v>2653</v>
      </c>
      <c r="G902" s="220">
        <v>41131</v>
      </c>
      <c r="H902" s="187">
        <v>10</v>
      </c>
      <c r="I902" s="187">
        <v>8</v>
      </c>
      <c r="J902" s="186">
        <v>2012</v>
      </c>
      <c r="K902" s="226" t="s">
        <v>30</v>
      </c>
      <c r="L902" s="226" t="s">
        <v>2638</v>
      </c>
      <c r="M902" s="226" t="s">
        <v>869</v>
      </c>
      <c r="N902" s="184">
        <v>6992.9990999999991</v>
      </c>
      <c r="Q902" s="221">
        <v>10</v>
      </c>
      <c r="R902" s="223">
        <f t="shared" si="99"/>
        <v>58.274992499999996</v>
      </c>
      <c r="S902" s="198">
        <f t="shared" si="102"/>
        <v>1165.4998499999999</v>
      </c>
      <c r="T902" s="223">
        <f t="shared" si="103"/>
        <v>5827.4992499999989</v>
      </c>
      <c r="U902" s="221">
        <v>17317</v>
      </c>
      <c r="X902" s="196">
        <f t="shared" si="101"/>
        <v>20</v>
      </c>
    </row>
    <row r="903" spans="2:24">
      <c r="B903" s="185" t="s">
        <v>2641</v>
      </c>
      <c r="F903" s="185" t="s">
        <v>2653</v>
      </c>
      <c r="G903" s="220">
        <v>41131</v>
      </c>
      <c r="H903" s="187">
        <v>10</v>
      </c>
      <c r="I903" s="187">
        <v>8</v>
      </c>
      <c r="J903" s="186">
        <v>2012</v>
      </c>
      <c r="K903" s="226" t="s">
        <v>30</v>
      </c>
      <c r="L903" s="226" t="s">
        <v>2638</v>
      </c>
      <c r="M903" s="226" t="s">
        <v>869</v>
      </c>
      <c r="N903" s="184">
        <v>1511.9991</v>
      </c>
      <c r="Q903" s="221">
        <v>10</v>
      </c>
      <c r="R903" s="223">
        <f t="shared" si="99"/>
        <v>12.599992499999999</v>
      </c>
      <c r="S903" s="198">
        <f t="shared" si="102"/>
        <v>251.99984999999998</v>
      </c>
      <c r="T903" s="223">
        <f t="shared" si="103"/>
        <v>1259.9992500000001</v>
      </c>
      <c r="U903" s="221">
        <v>17317</v>
      </c>
      <c r="X903" s="196">
        <f t="shared" si="101"/>
        <v>20</v>
      </c>
    </row>
    <row r="904" spans="2:24">
      <c r="B904" s="185" t="s">
        <v>2641</v>
      </c>
      <c r="F904" s="185" t="s">
        <v>2653</v>
      </c>
      <c r="G904" s="220">
        <v>41131</v>
      </c>
      <c r="H904" s="187">
        <v>10</v>
      </c>
      <c r="I904" s="187">
        <v>8</v>
      </c>
      <c r="J904" s="186">
        <v>2012</v>
      </c>
      <c r="K904" s="226" t="s">
        <v>30</v>
      </c>
      <c r="L904" s="226" t="s">
        <v>2638</v>
      </c>
      <c r="M904" s="226" t="s">
        <v>869</v>
      </c>
      <c r="N904" s="184">
        <v>1511.9991</v>
      </c>
      <c r="Q904" s="221">
        <v>10</v>
      </c>
      <c r="R904" s="223">
        <f t="shared" si="99"/>
        <v>12.599992499999999</v>
      </c>
      <c r="S904" s="198">
        <f t="shared" si="102"/>
        <v>251.99984999999998</v>
      </c>
      <c r="T904" s="223">
        <f t="shared" si="103"/>
        <v>1259.9992500000001</v>
      </c>
      <c r="U904" s="221">
        <v>17317</v>
      </c>
      <c r="X904" s="196">
        <f t="shared" si="101"/>
        <v>20</v>
      </c>
    </row>
    <row r="905" spans="2:24">
      <c r="B905" s="185" t="s">
        <v>2641</v>
      </c>
      <c r="F905" s="185" t="s">
        <v>2653</v>
      </c>
      <c r="G905" s="220">
        <v>41131</v>
      </c>
      <c r="H905" s="187">
        <v>10</v>
      </c>
      <c r="I905" s="187">
        <v>8</v>
      </c>
      <c r="J905" s="186">
        <v>2012</v>
      </c>
      <c r="K905" s="226" t="s">
        <v>30</v>
      </c>
      <c r="L905" s="226" t="s">
        <v>2638</v>
      </c>
      <c r="M905" s="226" t="s">
        <v>869</v>
      </c>
      <c r="N905" s="184">
        <v>1511.9991</v>
      </c>
      <c r="Q905" s="221">
        <v>10</v>
      </c>
      <c r="R905" s="223">
        <f t="shared" si="99"/>
        <v>12.599992499999999</v>
      </c>
      <c r="S905" s="198">
        <f t="shared" si="102"/>
        <v>251.99984999999998</v>
      </c>
      <c r="T905" s="223">
        <f t="shared" si="103"/>
        <v>1259.9992500000001</v>
      </c>
      <c r="U905" s="221">
        <v>17317</v>
      </c>
      <c r="X905" s="196">
        <f t="shared" si="101"/>
        <v>20</v>
      </c>
    </row>
    <row r="906" spans="2:24">
      <c r="B906" s="185" t="s">
        <v>2641</v>
      </c>
      <c r="F906" s="185" t="s">
        <v>2653</v>
      </c>
      <c r="G906" s="220">
        <v>41131</v>
      </c>
      <c r="H906" s="187">
        <v>10</v>
      </c>
      <c r="I906" s="187">
        <v>8</v>
      </c>
      <c r="J906" s="186">
        <v>2012</v>
      </c>
      <c r="K906" s="226" t="s">
        <v>30</v>
      </c>
      <c r="L906" s="226" t="s">
        <v>2638</v>
      </c>
      <c r="M906" s="226" t="s">
        <v>869</v>
      </c>
      <c r="N906" s="184">
        <v>1511.9991</v>
      </c>
      <c r="Q906" s="221">
        <v>10</v>
      </c>
      <c r="R906" s="223">
        <f t="shared" si="99"/>
        <v>12.599992499999999</v>
      </c>
      <c r="S906" s="198">
        <f t="shared" si="102"/>
        <v>251.99984999999998</v>
      </c>
      <c r="T906" s="223">
        <f t="shared" si="103"/>
        <v>1259.9992500000001</v>
      </c>
      <c r="U906" s="221">
        <v>17317</v>
      </c>
      <c r="X906" s="196">
        <f t="shared" si="101"/>
        <v>20</v>
      </c>
    </row>
    <row r="907" spans="2:24">
      <c r="B907" s="185" t="s">
        <v>2641</v>
      </c>
      <c r="F907" s="185" t="s">
        <v>2653</v>
      </c>
      <c r="G907" s="220">
        <v>41131</v>
      </c>
      <c r="H907" s="187">
        <v>10</v>
      </c>
      <c r="I907" s="187">
        <v>8</v>
      </c>
      <c r="J907" s="186">
        <v>2012</v>
      </c>
      <c r="K907" s="226" t="s">
        <v>30</v>
      </c>
      <c r="L907" s="226" t="s">
        <v>2638</v>
      </c>
      <c r="M907" s="226" t="s">
        <v>869</v>
      </c>
      <c r="N907" s="184">
        <v>1511.9991</v>
      </c>
      <c r="Q907" s="221">
        <v>10</v>
      </c>
      <c r="R907" s="223">
        <f t="shared" si="99"/>
        <v>12.599992499999999</v>
      </c>
      <c r="S907" s="198">
        <f t="shared" si="102"/>
        <v>251.99984999999998</v>
      </c>
      <c r="T907" s="223">
        <f t="shared" si="103"/>
        <v>1259.9992500000001</v>
      </c>
      <c r="U907" s="221">
        <v>17317</v>
      </c>
      <c r="X907" s="196">
        <f t="shared" si="101"/>
        <v>20</v>
      </c>
    </row>
    <row r="908" spans="2:24">
      <c r="B908" s="185" t="s">
        <v>2641</v>
      </c>
      <c r="F908" s="185" t="s">
        <v>2653</v>
      </c>
      <c r="G908" s="220">
        <v>41131</v>
      </c>
      <c r="H908" s="187">
        <v>10</v>
      </c>
      <c r="I908" s="187">
        <v>8</v>
      </c>
      <c r="J908" s="186">
        <v>2012</v>
      </c>
      <c r="K908" s="226" t="s">
        <v>30</v>
      </c>
      <c r="L908" s="226" t="s">
        <v>2638</v>
      </c>
      <c r="M908" s="226" t="s">
        <v>869</v>
      </c>
      <c r="N908" s="184">
        <v>1511.9991</v>
      </c>
      <c r="Q908" s="221">
        <v>10</v>
      </c>
      <c r="R908" s="223">
        <f t="shared" si="99"/>
        <v>12.599992499999999</v>
      </c>
      <c r="S908" s="198">
        <f t="shared" si="102"/>
        <v>251.99984999999998</v>
      </c>
      <c r="T908" s="223">
        <f t="shared" si="103"/>
        <v>1259.9992500000001</v>
      </c>
      <c r="U908" s="221">
        <v>17317</v>
      </c>
      <c r="X908" s="196">
        <f t="shared" si="101"/>
        <v>20</v>
      </c>
    </row>
    <row r="909" spans="2:24">
      <c r="B909" s="185" t="s">
        <v>2641</v>
      </c>
      <c r="F909" s="185" t="s">
        <v>2653</v>
      </c>
      <c r="G909" s="220">
        <v>41131</v>
      </c>
      <c r="H909" s="187">
        <v>10</v>
      </c>
      <c r="I909" s="187">
        <v>8</v>
      </c>
      <c r="J909" s="186">
        <v>2012</v>
      </c>
      <c r="K909" s="226" t="s">
        <v>30</v>
      </c>
      <c r="L909" s="226" t="s">
        <v>2638</v>
      </c>
      <c r="M909" s="226" t="s">
        <v>869</v>
      </c>
      <c r="N909" s="184">
        <v>1511.9991</v>
      </c>
      <c r="Q909" s="221">
        <v>10</v>
      </c>
      <c r="R909" s="223">
        <f t="shared" si="99"/>
        <v>12.599992499999999</v>
      </c>
      <c r="S909" s="198">
        <f t="shared" si="102"/>
        <v>251.99984999999998</v>
      </c>
      <c r="T909" s="223">
        <f t="shared" si="103"/>
        <v>1259.9992500000001</v>
      </c>
      <c r="U909" s="221">
        <v>17317</v>
      </c>
      <c r="X909" s="196">
        <f t="shared" si="101"/>
        <v>20</v>
      </c>
    </row>
    <row r="910" spans="2:24">
      <c r="B910" s="185" t="s">
        <v>2641</v>
      </c>
      <c r="F910" s="185" t="s">
        <v>2653</v>
      </c>
      <c r="G910" s="220">
        <v>41131</v>
      </c>
      <c r="H910" s="187">
        <v>10</v>
      </c>
      <c r="I910" s="187">
        <v>8</v>
      </c>
      <c r="J910" s="186">
        <v>2012</v>
      </c>
      <c r="K910" s="226" t="s">
        <v>30</v>
      </c>
      <c r="L910" s="226" t="s">
        <v>2638</v>
      </c>
      <c r="M910" s="226" t="s">
        <v>869</v>
      </c>
      <c r="N910" s="184">
        <v>1511.9991</v>
      </c>
      <c r="Q910" s="221">
        <v>10</v>
      </c>
      <c r="R910" s="223">
        <f t="shared" si="99"/>
        <v>12.599992499999999</v>
      </c>
      <c r="S910" s="198">
        <f t="shared" si="102"/>
        <v>251.99984999999998</v>
      </c>
      <c r="T910" s="223">
        <f t="shared" si="103"/>
        <v>1259.9992500000001</v>
      </c>
      <c r="U910" s="221">
        <v>17317</v>
      </c>
      <c r="X910" s="196">
        <f t="shared" si="101"/>
        <v>20</v>
      </c>
    </row>
    <row r="911" spans="2:24">
      <c r="B911" s="185" t="s">
        <v>2641</v>
      </c>
      <c r="F911" s="185" t="s">
        <v>2653</v>
      </c>
      <c r="G911" s="220">
        <v>41131</v>
      </c>
      <c r="H911" s="187">
        <v>10</v>
      </c>
      <c r="I911" s="187">
        <v>8</v>
      </c>
      <c r="J911" s="186">
        <v>2012</v>
      </c>
      <c r="K911" s="226" t="s">
        <v>30</v>
      </c>
      <c r="L911" s="226" t="s">
        <v>2638</v>
      </c>
      <c r="M911" s="226" t="s">
        <v>869</v>
      </c>
      <c r="N911" s="184">
        <v>1511.9991</v>
      </c>
      <c r="Q911" s="221">
        <v>10</v>
      </c>
      <c r="R911" s="223">
        <f t="shared" si="99"/>
        <v>12.599992499999999</v>
      </c>
      <c r="S911" s="198">
        <f t="shared" si="102"/>
        <v>251.99984999999998</v>
      </c>
      <c r="T911" s="223">
        <f t="shared" si="103"/>
        <v>1259.9992500000001</v>
      </c>
      <c r="U911" s="221">
        <v>17317</v>
      </c>
      <c r="X911" s="196">
        <f t="shared" si="101"/>
        <v>20</v>
      </c>
    </row>
    <row r="912" spans="2:24">
      <c r="B912" s="185" t="s">
        <v>2641</v>
      </c>
      <c r="F912" s="185" t="s">
        <v>2653</v>
      </c>
      <c r="G912" s="220">
        <v>41131</v>
      </c>
      <c r="H912" s="187">
        <v>10</v>
      </c>
      <c r="I912" s="187">
        <v>8</v>
      </c>
      <c r="J912" s="186">
        <v>2012</v>
      </c>
      <c r="K912" s="226" t="s">
        <v>30</v>
      </c>
      <c r="L912" s="226" t="s">
        <v>2638</v>
      </c>
      <c r="M912" s="226" t="s">
        <v>869</v>
      </c>
      <c r="N912" s="184">
        <v>1511.9991</v>
      </c>
      <c r="Q912" s="221">
        <v>10</v>
      </c>
      <c r="R912" s="223">
        <f t="shared" si="99"/>
        <v>12.599992499999999</v>
      </c>
      <c r="S912" s="198">
        <f t="shared" si="102"/>
        <v>251.99984999999998</v>
      </c>
      <c r="T912" s="223">
        <f t="shared" si="103"/>
        <v>1259.9992500000001</v>
      </c>
      <c r="U912" s="221">
        <v>17317</v>
      </c>
      <c r="X912" s="196">
        <f t="shared" si="101"/>
        <v>20</v>
      </c>
    </row>
    <row r="913" spans="2:24">
      <c r="B913" s="185" t="s">
        <v>2641</v>
      </c>
      <c r="F913" s="185" t="s">
        <v>2653</v>
      </c>
      <c r="G913" s="220">
        <v>41131</v>
      </c>
      <c r="H913" s="187">
        <v>10</v>
      </c>
      <c r="I913" s="187">
        <v>8</v>
      </c>
      <c r="J913" s="186">
        <v>2012</v>
      </c>
      <c r="K913" s="226" t="s">
        <v>30</v>
      </c>
      <c r="L913" s="226" t="s">
        <v>2638</v>
      </c>
      <c r="M913" s="226" t="s">
        <v>869</v>
      </c>
      <c r="N913" s="184">
        <v>1511.9991</v>
      </c>
      <c r="Q913" s="221">
        <v>10</v>
      </c>
      <c r="R913" s="223">
        <f t="shared" si="99"/>
        <v>12.599992499999999</v>
      </c>
      <c r="S913" s="198">
        <f t="shared" si="102"/>
        <v>251.99984999999998</v>
      </c>
      <c r="T913" s="223">
        <f t="shared" si="103"/>
        <v>1259.9992500000001</v>
      </c>
      <c r="U913" s="221">
        <v>17317</v>
      </c>
      <c r="X913" s="196">
        <f t="shared" si="101"/>
        <v>20</v>
      </c>
    </row>
    <row r="914" spans="2:24">
      <c r="B914" s="185" t="s">
        <v>2641</v>
      </c>
      <c r="F914" s="185" t="s">
        <v>2653</v>
      </c>
      <c r="G914" s="220">
        <v>41131</v>
      </c>
      <c r="H914" s="187">
        <v>10</v>
      </c>
      <c r="I914" s="187">
        <v>8</v>
      </c>
      <c r="J914" s="186">
        <v>2012</v>
      </c>
      <c r="K914" s="226" t="s">
        <v>30</v>
      </c>
      <c r="L914" s="226" t="s">
        <v>2638</v>
      </c>
      <c r="M914" s="226" t="s">
        <v>869</v>
      </c>
      <c r="N914" s="184">
        <v>1511.9991</v>
      </c>
      <c r="Q914" s="221">
        <v>10</v>
      </c>
      <c r="R914" s="223">
        <f t="shared" si="99"/>
        <v>12.599992499999999</v>
      </c>
      <c r="S914" s="198">
        <f t="shared" si="102"/>
        <v>251.99984999999998</v>
      </c>
      <c r="T914" s="223">
        <f t="shared" si="103"/>
        <v>1259.9992500000001</v>
      </c>
      <c r="U914" s="221">
        <v>17317</v>
      </c>
      <c r="X914" s="196">
        <f t="shared" si="101"/>
        <v>20</v>
      </c>
    </row>
    <row r="915" spans="2:24">
      <c r="B915" s="185" t="s">
        <v>2641</v>
      </c>
      <c r="F915" s="185" t="s">
        <v>2653</v>
      </c>
      <c r="G915" s="220">
        <v>41131</v>
      </c>
      <c r="H915" s="187">
        <v>10</v>
      </c>
      <c r="I915" s="187">
        <v>8</v>
      </c>
      <c r="J915" s="186">
        <v>2012</v>
      </c>
      <c r="K915" s="226" t="s">
        <v>30</v>
      </c>
      <c r="L915" s="226" t="s">
        <v>2638</v>
      </c>
      <c r="M915" s="226" t="s">
        <v>869</v>
      </c>
      <c r="N915" s="184">
        <v>1511.9991</v>
      </c>
      <c r="Q915" s="221">
        <v>10</v>
      </c>
      <c r="R915" s="223">
        <f t="shared" si="99"/>
        <v>12.599992499999999</v>
      </c>
      <c r="S915" s="198">
        <f t="shared" si="102"/>
        <v>251.99984999999998</v>
      </c>
      <c r="T915" s="223">
        <f t="shared" si="103"/>
        <v>1259.9992500000001</v>
      </c>
      <c r="U915" s="221">
        <v>17317</v>
      </c>
      <c r="X915" s="196">
        <f t="shared" si="101"/>
        <v>20</v>
      </c>
    </row>
    <row r="916" spans="2:24">
      <c r="B916" s="185" t="s">
        <v>2641</v>
      </c>
      <c r="F916" s="185" t="s">
        <v>2653</v>
      </c>
      <c r="G916" s="220">
        <v>41131</v>
      </c>
      <c r="H916" s="187">
        <v>10</v>
      </c>
      <c r="I916" s="187">
        <v>8</v>
      </c>
      <c r="J916" s="186">
        <v>2012</v>
      </c>
      <c r="K916" s="226" t="s">
        <v>30</v>
      </c>
      <c r="L916" s="226" t="s">
        <v>2638</v>
      </c>
      <c r="M916" s="226" t="s">
        <v>869</v>
      </c>
      <c r="N916" s="184">
        <v>1511.9991</v>
      </c>
      <c r="Q916" s="221">
        <v>10</v>
      </c>
      <c r="R916" s="223">
        <f t="shared" si="99"/>
        <v>12.599992499999999</v>
      </c>
      <c r="S916" s="198">
        <f t="shared" si="102"/>
        <v>251.99984999999998</v>
      </c>
      <c r="T916" s="223">
        <f t="shared" si="103"/>
        <v>1259.9992500000001</v>
      </c>
      <c r="U916" s="221">
        <v>17317</v>
      </c>
      <c r="X916" s="196">
        <f t="shared" si="101"/>
        <v>20</v>
      </c>
    </row>
    <row r="917" spans="2:24">
      <c r="B917" s="185" t="s">
        <v>2641</v>
      </c>
      <c r="F917" s="185" t="s">
        <v>2653</v>
      </c>
      <c r="G917" s="220">
        <v>41131</v>
      </c>
      <c r="H917" s="187">
        <v>10</v>
      </c>
      <c r="I917" s="187">
        <v>8</v>
      </c>
      <c r="J917" s="186">
        <v>2012</v>
      </c>
      <c r="K917" s="226" t="s">
        <v>30</v>
      </c>
      <c r="L917" s="226" t="s">
        <v>2638</v>
      </c>
      <c r="M917" s="226" t="s">
        <v>869</v>
      </c>
      <c r="N917" s="184">
        <v>1511.9991</v>
      </c>
      <c r="Q917" s="221">
        <v>10</v>
      </c>
      <c r="R917" s="223">
        <f t="shared" si="99"/>
        <v>12.599992499999999</v>
      </c>
      <c r="S917" s="198">
        <f t="shared" si="102"/>
        <v>251.99984999999998</v>
      </c>
      <c r="T917" s="223">
        <f t="shared" si="103"/>
        <v>1259.9992500000001</v>
      </c>
      <c r="U917" s="221">
        <v>17317</v>
      </c>
      <c r="X917" s="196">
        <f t="shared" si="101"/>
        <v>20</v>
      </c>
    </row>
    <row r="918" spans="2:24">
      <c r="B918" s="185" t="s">
        <v>2641</v>
      </c>
      <c r="F918" s="185" t="s">
        <v>2653</v>
      </c>
      <c r="G918" s="220">
        <v>41131</v>
      </c>
      <c r="H918" s="187">
        <v>10</v>
      </c>
      <c r="I918" s="187">
        <v>8</v>
      </c>
      <c r="J918" s="186">
        <v>2012</v>
      </c>
      <c r="K918" s="226" t="s">
        <v>30</v>
      </c>
      <c r="L918" s="226" t="s">
        <v>2638</v>
      </c>
      <c r="M918" s="226" t="s">
        <v>869</v>
      </c>
      <c r="N918" s="184">
        <v>1511.9991</v>
      </c>
      <c r="Q918" s="221">
        <v>10</v>
      </c>
      <c r="R918" s="223">
        <f t="shared" si="99"/>
        <v>12.599992499999999</v>
      </c>
      <c r="S918" s="198">
        <f t="shared" si="102"/>
        <v>251.99984999999998</v>
      </c>
      <c r="T918" s="223">
        <f t="shared" si="103"/>
        <v>1259.9992500000001</v>
      </c>
      <c r="U918" s="221">
        <v>17317</v>
      </c>
      <c r="X918" s="196">
        <f t="shared" si="101"/>
        <v>20</v>
      </c>
    </row>
    <row r="919" spans="2:24">
      <c r="B919" s="185" t="s">
        <v>2641</v>
      </c>
      <c r="F919" s="185" t="s">
        <v>2653</v>
      </c>
      <c r="G919" s="220">
        <v>41131</v>
      </c>
      <c r="H919" s="187">
        <v>10</v>
      </c>
      <c r="I919" s="187">
        <v>8</v>
      </c>
      <c r="J919" s="186">
        <v>2012</v>
      </c>
      <c r="K919" s="226" t="s">
        <v>30</v>
      </c>
      <c r="L919" s="226" t="s">
        <v>2638</v>
      </c>
      <c r="M919" s="226" t="s">
        <v>869</v>
      </c>
      <c r="N919" s="184">
        <v>1511.9991</v>
      </c>
      <c r="Q919" s="221">
        <v>10</v>
      </c>
      <c r="R919" s="223">
        <f t="shared" si="99"/>
        <v>12.599992499999999</v>
      </c>
      <c r="S919" s="198">
        <f t="shared" si="102"/>
        <v>251.99984999999998</v>
      </c>
      <c r="T919" s="223">
        <f t="shared" si="103"/>
        <v>1259.9992500000001</v>
      </c>
      <c r="U919" s="221">
        <v>17317</v>
      </c>
      <c r="X919" s="196">
        <f t="shared" si="101"/>
        <v>20</v>
      </c>
    </row>
    <row r="920" spans="2:24">
      <c r="B920" s="185" t="s">
        <v>2641</v>
      </c>
      <c r="F920" s="185" t="s">
        <v>2653</v>
      </c>
      <c r="G920" s="220">
        <v>41131</v>
      </c>
      <c r="H920" s="187">
        <v>10</v>
      </c>
      <c r="I920" s="187">
        <v>8</v>
      </c>
      <c r="J920" s="186">
        <v>2012</v>
      </c>
      <c r="K920" s="226" t="s">
        <v>30</v>
      </c>
      <c r="L920" s="226" t="s">
        <v>2638</v>
      </c>
      <c r="M920" s="226" t="s">
        <v>869</v>
      </c>
      <c r="N920" s="184">
        <v>1511.9991</v>
      </c>
      <c r="Q920" s="221">
        <v>10</v>
      </c>
      <c r="R920" s="223">
        <f t="shared" si="99"/>
        <v>12.599992499999999</v>
      </c>
      <c r="S920" s="198">
        <f t="shared" si="102"/>
        <v>251.99984999999998</v>
      </c>
      <c r="T920" s="223">
        <f t="shared" si="103"/>
        <v>1259.9992500000001</v>
      </c>
      <c r="U920" s="221">
        <v>17317</v>
      </c>
      <c r="X920" s="196">
        <f t="shared" si="101"/>
        <v>20</v>
      </c>
    </row>
    <row r="921" spans="2:24">
      <c r="B921" s="185" t="s">
        <v>2641</v>
      </c>
      <c r="F921" s="185" t="s">
        <v>2653</v>
      </c>
      <c r="G921" s="220">
        <v>41131</v>
      </c>
      <c r="H921" s="187">
        <v>10</v>
      </c>
      <c r="I921" s="187">
        <v>8</v>
      </c>
      <c r="J921" s="186">
        <v>2012</v>
      </c>
      <c r="K921" s="226" t="s">
        <v>30</v>
      </c>
      <c r="L921" s="226" t="s">
        <v>2638</v>
      </c>
      <c r="M921" s="226" t="s">
        <v>869</v>
      </c>
      <c r="N921" s="184">
        <v>1511.9991</v>
      </c>
      <c r="Q921" s="221">
        <v>10</v>
      </c>
      <c r="R921" s="223">
        <f t="shared" si="99"/>
        <v>12.599992499999999</v>
      </c>
      <c r="S921" s="198">
        <f t="shared" si="102"/>
        <v>251.99984999999998</v>
      </c>
      <c r="T921" s="223">
        <f t="shared" si="103"/>
        <v>1259.9992500000001</v>
      </c>
      <c r="U921" s="221">
        <v>17317</v>
      </c>
      <c r="X921" s="196">
        <f t="shared" si="101"/>
        <v>20</v>
      </c>
    </row>
    <row r="922" spans="2:24">
      <c r="B922" s="185" t="s">
        <v>2641</v>
      </c>
      <c r="F922" s="185" t="s">
        <v>2653</v>
      </c>
      <c r="G922" s="220">
        <v>41131</v>
      </c>
      <c r="H922" s="187">
        <v>10</v>
      </c>
      <c r="I922" s="187">
        <v>8</v>
      </c>
      <c r="J922" s="186">
        <v>2012</v>
      </c>
      <c r="K922" s="226" t="s">
        <v>30</v>
      </c>
      <c r="L922" s="226" t="s">
        <v>2638</v>
      </c>
      <c r="M922" s="226" t="s">
        <v>869</v>
      </c>
      <c r="N922" s="184">
        <v>1511.9991</v>
      </c>
      <c r="Q922" s="221">
        <v>10</v>
      </c>
      <c r="R922" s="223">
        <f t="shared" si="99"/>
        <v>12.599992499999999</v>
      </c>
      <c r="S922" s="198">
        <f t="shared" si="102"/>
        <v>251.99984999999998</v>
      </c>
      <c r="T922" s="223">
        <f t="shared" si="103"/>
        <v>1259.9992500000001</v>
      </c>
      <c r="U922" s="221">
        <v>17317</v>
      </c>
      <c r="X922" s="196">
        <f t="shared" si="101"/>
        <v>20</v>
      </c>
    </row>
    <row r="923" spans="2:24">
      <c r="B923" s="185" t="s">
        <v>2641</v>
      </c>
      <c r="F923" s="185" t="s">
        <v>2653</v>
      </c>
      <c r="G923" s="220">
        <v>41131</v>
      </c>
      <c r="H923" s="187">
        <v>10</v>
      </c>
      <c r="I923" s="187">
        <v>8</v>
      </c>
      <c r="J923" s="186">
        <v>2012</v>
      </c>
      <c r="K923" s="226" t="s">
        <v>30</v>
      </c>
      <c r="L923" s="226" t="s">
        <v>2638</v>
      </c>
      <c r="M923" s="226" t="s">
        <v>869</v>
      </c>
      <c r="N923" s="184">
        <v>1511.9991</v>
      </c>
      <c r="Q923" s="221">
        <v>10</v>
      </c>
      <c r="R923" s="223">
        <f t="shared" si="99"/>
        <v>12.599992499999999</v>
      </c>
      <c r="S923" s="198">
        <f t="shared" si="102"/>
        <v>251.99984999999998</v>
      </c>
      <c r="T923" s="223">
        <f t="shared" si="103"/>
        <v>1259.9992500000001</v>
      </c>
      <c r="U923" s="221">
        <v>17317</v>
      </c>
      <c r="X923" s="196">
        <f t="shared" si="101"/>
        <v>20</v>
      </c>
    </row>
    <row r="924" spans="2:24">
      <c r="B924" s="185" t="s">
        <v>2641</v>
      </c>
      <c r="F924" s="185" t="s">
        <v>2653</v>
      </c>
      <c r="G924" s="220">
        <v>41131</v>
      </c>
      <c r="H924" s="187">
        <v>10</v>
      </c>
      <c r="I924" s="187">
        <v>8</v>
      </c>
      <c r="J924" s="186">
        <v>2012</v>
      </c>
      <c r="K924" s="226" t="s">
        <v>30</v>
      </c>
      <c r="L924" s="226" t="s">
        <v>2638</v>
      </c>
      <c r="M924" s="226" t="s">
        <v>869</v>
      </c>
      <c r="N924" s="184">
        <v>1511.9991</v>
      </c>
      <c r="Q924" s="221">
        <v>10</v>
      </c>
      <c r="R924" s="223">
        <f t="shared" si="99"/>
        <v>12.599992499999999</v>
      </c>
      <c r="S924" s="198">
        <f t="shared" si="102"/>
        <v>251.99984999999998</v>
      </c>
      <c r="T924" s="223">
        <f t="shared" si="103"/>
        <v>1259.9992500000001</v>
      </c>
      <c r="U924" s="221">
        <v>17317</v>
      </c>
      <c r="X924" s="196">
        <f t="shared" si="101"/>
        <v>20</v>
      </c>
    </row>
    <row r="925" spans="2:24">
      <c r="B925" s="185" t="s">
        <v>2641</v>
      </c>
      <c r="F925" s="185" t="s">
        <v>2653</v>
      </c>
      <c r="G925" s="220">
        <v>41131</v>
      </c>
      <c r="H925" s="187">
        <v>10</v>
      </c>
      <c r="I925" s="187">
        <v>8</v>
      </c>
      <c r="J925" s="186">
        <v>2012</v>
      </c>
      <c r="K925" s="226" t="s">
        <v>30</v>
      </c>
      <c r="L925" s="226" t="s">
        <v>2638</v>
      </c>
      <c r="M925" s="226" t="s">
        <v>869</v>
      </c>
      <c r="N925" s="184">
        <v>1511.9991</v>
      </c>
      <c r="Q925" s="221">
        <v>10</v>
      </c>
      <c r="R925" s="223">
        <f t="shared" si="99"/>
        <v>12.599992499999999</v>
      </c>
      <c r="S925" s="198">
        <f t="shared" si="102"/>
        <v>251.99984999999998</v>
      </c>
      <c r="T925" s="223">
        <f t="shared" si="103"/>
        <v>1259.9992500000001</v>
      </c>
      <c r="U925" s="221">
        <v>17317</v>
      </c>
      <c r="X925" s="196">
        <f t="shared" si="101"/>
        <v>20</v>
      </c>
    </row>
    <row r="926" spans="2:24">
      <c r="B926" s="185" t="s">
        <v>2641</v>
      </c>
      <c r="F926" s="185" t="s">
        <v>2653</v>
      </c>
      <c r="G926" s="220">
        <v>41131</v>
      </c>
      <c r="H926" s="187">
        <v>10</v>
      </c>
      <c r="I926" s="187">
        <v>8</v>
      </c>
      <c r="J926" s="186">
        <v>2012</v>
      </c>
      <c r="K926" s="226" t="s">
        <v>30</v>
      </c>
      <c r="L926" s="226" t="s">
        <v>2638</v>
      </c>
      <c r="M926" s="226" t="s">
        <v>869</v>
      </c>
      <c r="N926" s="184">
        <v>1511.9991</v>
      </c>
      <c r="Q926" s="221">
        <v>10</v>
      </c>
      <c r="R926" s="223">
        <f t="shared" si="99"/>
        <v>12.599992499999999</v>
      </c>
      <c r="S926" s="198">
        <f t="shared" si="102"/>
        <v>251.99984999999998</v>
      </c>
      <c r="T926" s="223">
        <f t="shared" si="103"/>
        <v>1259.9992500000001</v>
      </c>
      <c r="U926" s="221">
        <v>17317</v>
      </c>
      <c r="X926" s="196">
        <f t="shared" si="101"/>
        <v>20</v>
      </c>
    </row>
    <row r="927" spans="2:24">
      <c r="B927" s="185" t="s">
        <v>2641</v>
      </c>
      <c r="F927" s="185" t="s">
        <v>2653</v>
      </c>
      <c r="G927" s="220">
        <v>41131</v>
      </c>
      <c r="H927" s="187">
        <v>10</v>
      </c>
      <c r="I927" s="187">
        <v>8</v>
      </c>
      <c r="J927" s="186">
        <v>2012</v>
      </c>
      <c r="K927" s="226" t="s">
        <v>30</v>
      </c>
      <c r="L927" s="226" t="s">
        <v>2638</v>
      </c>
      <c r="M927" s="226" t="s">
        <v>869</v>
      </c>
      <c r="N927" s="184">
        <v>1511.9991</v>
      </c>
      <c r="Q927" s="221">
        <v>10</v>
      </c>
      <c r="R927" s="223">
        <f t="shared" si="99"/>
        <v>12.599992499999999</v>
      </c>
      <c r="S927" s="198">
        <f t="shared" si="102"/>
        <v>251.99984999999998</v>
      </c>
      <c r="T927" s="223">
        <f t="shared" si="103"/>
        <v>1259.9992500000001</v>
      </c>
      <c r="U927" s="221">
        <v>17317</v>
      </c>
      <c r="X927" s="196">
        <f t="shared" si="101"/>
        <v>20</v>
      </c>
    </row>
    <row r="928" spans="2:24">
      <c r="B928" s="185" t="s">
        <v>2641</v>
      </c>
      <c r="F928" s="185" t="s">
        <v>2653</v>
      </c>
      <c r="G928" s="220">
        <v>41131</v>
      </c>
      <c r="H928" s="187">
        <v>10</v>
      </c>
      <c r="I928" s="187">
        <v>8</v>
      </c>
      <c r="J928" s="186">
        <v>2012</v>
      </c>
      <c r="K928" s="226" t="s">
        <v>30</v>
      </c>
      <c r="L928" s="226" t="s">
        <v>2638</v>
      </c>
      <c r="M928" s="226" t="s">
        <v>869</v>
      </c>
      <c r="N928" s="184">
        <v>1511.9991</v>
      </c>
      <c r="Q928" s="221">
        <v>10</v>
      </c>
      <c r="R928" s="223">
        <f t="shared" si="99"/>
        <v>12.599992499999999</v>
      </c>
      <c r="S928" s="198">
        <f t="shared" si="102"/>
        <v>251.99984999999998</v>
      </c>
      <c r="T928" s="223">
        <f t="shared" si="103"/>
        <v>1259.9992500000001</v>
      </c>
      <c r="U928" s="221">
        <v>17317</v>
      </c>
      <c r="X928" s="196">
        <f t="shared" si="101"/>
        <v>20</v>
      </c>
    </row>
    <row r="929" spans="2:24">
      <c r="B929" s="185" t="s">
        <v>2642</v>
      </c>
      <c r="F929" s="185" t="s">
        <v>2653</v>
      </c>
      <c r="G929" s="220">
        <v>41131</v>
      </c>
      <c r="H929" s="187">
        <v>10</v>
      </c>
      <c r="I929" s="187">
        <v>8</v>
      </c>
      <c r="J929" s="186">
        <v>2012</v>
      </c>
      <c r="K929" s="226" t="s">
        <v>30</v>
      </c>
      <c r="L929" s="226" t="s">
        <v>2638</v>
      </c>
      <c r="M929" s="226" t="s">
        <v>869</v>
      </c>
      <c r="N929" s="184">
        <v>3509.9989920000003</v>
      </c>
      <c r="Q929" s="221">
        <v>10</v>
      </c>
      <c r="R929" s="223">
        <f t="shared" si="99"/>
        <v>29.249991600000001</v>
      </c>
      <c r="S929" s="198">
        <f t="shared" si="102"/>
        <v>584.99983199999997</v>
      </c>
      <c r="T929" s="223">
        <f t="shared" si="103"/>
        <v>2924.9991600000003</v>
      </c>
      <c r="U929" s="221">
        <v>17317</v>
      </c>
      <c r="X929" s="196">
        <f t="shared" si="101"/>
        <v>20</v>
      </c>
    </row>
    <row r="930" spans="2:24">
      <c r="B930" s="185" t="s">
        <v>2642</v>
      </c>
      <c r="F930" s="185" t="s">
        <v>2653</v>
      </c>
      <c r="G930" s="220">
        <v>41131</v>
      </c>
      <c r="H930" s="187">
        <v>10</v>
      </c>
      <c r="I930" s="187">
        <v>8</v>
      </c>
      <c r="J930" s="186">
        <v>2012</v>
      </c>
      <c r="K930" s="226" t="s">
        <v>30</v>
      </c>
      <c r="L930" s="226" t="s">
        <v>2638</v>
      </c>
      <c r="M930" s="226" t="s">
        <v>869</v>
      </c>
      <c r="N930" s="184">
        <v>3509.9989920000003</v>
      </c>
      <c r="Q930" s="221">
        <v>10</v>
      </c>
      <c r="R930" s="223">
        <f t="shared" si="99"/>
        <v>29.249991600000001</v>
      </c>
      <c r="S930" s="198">
        <f t="shared" si="102"/>
        <v>584.99983199999997</v>
      </c>
      <c r="T930" s="223">
        <f t="shared" si="103"/>
        <v>2924.9991600000003</v>
      </c>
      <c r="U930" s="221">
        <v>17317</v>
      </c>
      <c r="X930" s="196">
        <f t="shared" si="101"/>
        <v>20</v>
      </c>
    </row>
    <row r="931" spans="2:24">
      <c r="B931" s="185" t="s">
        <v>2642</v>
      </c>
      <c r="F931" s="185" t="s">
        <v>2653</v>
      </c>
      <c r="G931" s="220">
        <v>41131</v>
      </c>
      <c r="H931" s="187">
        <v>10</v>
      </c>
      <c r="I931" s="187">
        <v>8</v>
      </c>
      <c r="J931" s="186">
        <v>2012</v>
      </c>
      <c r="K931" s="226" t="s">
        <v>30</v>
      </c>
      <c r="L931" s="226" t="s">
        <v>2638</v>
      </c>
      <c r="M931" s="226" t="s">
        <v>869</v>
      </c>
      <c r="N931" s="184">
        <v>3509.9989920000003</v>
      </c>
      <c r="Q931" s="221">
        <v>10</v>
      </c>
      <c r="R931" s="223">
        <f t="shared" si="99"/>
        <v>29.249991600000001</v>
      </c>
      <c r="S931" s="198">
        <f t="shared" si="102"/>
        <v>584.99983199999997</v>
      </c>
      <c r="T931" s="223">
        <f t="shared" si="103"/>
        <v>2924.9991600000003</v>
      </c>
      <c r="U931" s="221">
        <v>17317</v>
      </c>
      <c r="X931" s="196">
        <f t="shared" si="101"/>
        <v>20</v>
      </c>
    </row>
    <row r="932" spans="2:24">
      <c r="B932" s="185" t="s">
        <v>2642</v>
      </c>
      <c r="F932" s="185" t="s">
        <v>2653</v>
      </c>
      <c r="G932" s="220">
        <v>41131</v>
      </c>
      <c r="H932" s="187">
        <v>10</v>
      </c>
      <c r="I932" s="187">
        <v>8</v>
      </c>
      <c r="J932" s="186">
        <v>2012</v>
      </c>
      <c r="K932" s="226" t="s">
        <v>30</v>
      </c>
      <c r="L932" s="226" t="s">
        <v>2638</v>
      </c>
      <c r="M932" s="226" t="s">
        <v>869</v>
      </c>
      <c r="N932" s="184">
        <v>3509.9989920000003</v>
      </c>
      <c r="Q932" s="221">
        <v>10</v>
      </c>
      <c r="R932" s="223">
        <f t="shared" si="99"/>
        <v>29.249991600000001</v>
      </c>
      <c r="S932" s="198">
        <f t="shared" si="102"/>
        <v>584.99983199999997</v>
      </c>
      <c r="T932" s="223">
        <f t="shared" si="103"/>
        <v>2924.9991600000003</v>
      </c>
      <c r="U932" s="221">
        <v>17317</v>
      </c>
      <c r="X932" s="196">
        <f t="shared" si="101"/>
        <v>20</v>
      </c>
    </row>
    <row r="933" spans="2:24">
      <c r="B933" s="185" t="s">
        <v>2642</v>
      </c>
      <c r="F933" s="185" t="s">
        <v>2653</v>
      </c>
      <c r="G933" s="220">
        <v>41131</v>
      </c>
      <c r="H933" s="187">
        <v>10</v>
      </c>
      <c r="I933" s="187">
        <v>8</v>
      </c>
      <c r="J933" s="186">
        <v>2012</v>
      </c>
      <c r="K933" s="226" t="s">
        <v>30</v>
      </c>
      <c r="L933" s="226" t="s">
        <v>2638</v>
      </c>
      <c r="M933" s="226" t="s">
        <v>869</v>
      </c>
      <c r="N933" s="184">
        <v>3509.9989920000003</v>
      </c>
      <c r="Q933" s="221">
        <v>10</v>
      </c>
      <c r="R933" s="223">
        <f t="shared" si="99"/>
        <v>29.249991600000001</v>
      </c>
      <c r="S933" s="198">
        <f t="shared" si="102"/>
        <v>584.99983199999997</v>
      </c>
      <c r="T933" s="223">
        <f t="shared" si="103"/>
        <v>2924.9991600000003</v>
      </c>
      <c r="U933" s="221">
        <v>17317</v>
      </c>
      <c r="X933" s="196">
        <f t="shared" si="101"/>
        <v>20</v>
      </c>
    </row>
    <row r="934" spans="2:24">
      <c r="B934" s="185" t="s">
        <v>2642</v>
      </c>
      <c r="F934" s="185" t="s">
        <v>2653</v>
      </c>
      <c r="G934" s="220">
        <v>41131</v>
      </c>
      <c r="H934" s="187">
        <v>10</v>
      </c>
      <c r="I934" s="187">
        <v>8</v>
      </c>
      <c r="J934" s="186">
        <v>2012</v>
      </c>
      <c r="K934" s="226" t="s">
        <v>30</v>
      </c>
      <c r="L934" s="226" t="s">
        <v>2638</v>
      </c>
      <c r="M934" s="226" t="s">
        <v>869</v>
      </c>
      <c r="N934" s="184">
        <v>3509.9989920000003</v>
      </c>
      <c r="Q934" s="221">
        <v>10</v>
      </c>
      <c r="R934" s="223">
        <f t="shared" si="99"/>
        <v>29.249991600000001</v>
      </c>
      <c r="S934" s="198">
        <f t="shared" si="102"/>
        <v>584.99983199999997</v>
      </c>
      <c r="T934" s="223">
        <f t="shared" si="103"/>
        <v>2924.9991600000003</v>
      </c>
      <c r="U934" s="221">
        <v>17317</v>
      </c>
      <c r="X934" s="196">
        <f t="shared" si="101"/>
        <v>20</v>
      </c>
    </row>
    <row r="935" spans="2:24">
      <c r="B935" s="185" t="s">
        <v>2642</v>
      </c>
      <c r="F935" s="185" t="s">
        <v>2653</v>
      </c>
      <c r="G935" s="220">
        <v>41131</v>
      </c>
      <c r="H935" s="187">
        <v>10</v>
      </c>
      <c r="I935" s="187">
        <v>8</v>
      </c>
      <c r="J935" s="186">
        <v>2012</v>
      </c>
      <c r="K935" s="226" t="s">
        <v>30</v>
      </c>
      <c r="L935" s="226" t="s">
        <v>2638</v>
      </c>
      <c r="M935" s="226" t="s">
        <v>869</v>
      </c>
      <c r="N935" s="184">
        <v>3509.9989920000003</v>
      </c>
      <c r="Q935" s="221">
        <v>10</v>
      </c>
      <c r="R935" s="223">
        <f t="shared" si="99"/>
        <v>29.249991600000001</v>
      </c>
      <c r="S935" s="198">
        <f t="shared" si="102"/>
        <v>584.99983199999997</v>
      </c>
      <c r="T935" s="223">
        <f t="shared" si="103"/>
        <v>2924.9991600000003</v>
      </c>
      <c r="U935" s="221">
        <v>17317</v>
      </c>
      <c r="X935" s="196">
        <f t="shared" si="101"/>
        <v>20</v>
      </c>
    </row>
    <row r="936" spans="2:24">
      <c r="B936" s="185" t="s">
        <v>2642</v>
      </c>
      <c r="F936" s="185" t="s">
        <v>2653</v>
      </c>
      <c r="G936" s="220">
        <v>41131</v>
      </c>
      <c r="H936" s="187">
        <v>10</v>
      </c>
      <c r="I936" s="187">
        <v>8</v>
      </c>
      <c r="J936" s="186">
        <v>2012</v>
      </c>
      <c r="K936" s="226" t="s">
        <v>30</v>
      </c>
      <c r="L936" s="226" t="s">
        <v>2638</v>
      </c>
      <c r="M936" s="226" t="s">
        <v>869</v>
      </c>
      <c r="N936" s="184">
        <v>3509.9989920000003</v>
      </c>
      <c r="Q936" s="221">
        <v>10</v>
      </c>
      <c r="R936" s="223">
        <f t="shared" si="99"/>
        <v>29.249991600000001</v>
      </c>
      <c r="S936" s="198">
        <f t="shared" si="102"/>
        <v>584.99983199999997</v>
      </c>
      <c r="T936" s="223">
        <f t="shared" si="103"/>
        <v>2924.9991600000003</v>
      </c>
      <c r="U936" s="221">
        <v>17317</v>
      </c>
      <c r="X936" s="196">
        <f t="shared" si="101"/>
        <v>20</v>
      </c>
    </row>
    <row r="937" spans="2:24">
      <c r="B937" s="185" t="s">
        <v>2642</v>
      </c>
      <c r="F937" s="185" t="s">
        <v>2653</v>
      </c>
      <c r="G937" s="220">
        <v>41131</v>
      </c>
      <c r="H937" s="187">
        <v>10</v>
      </c>
      <c r="I937" s="187">
        <v>8</v>
      </c>
      <c r="J937" s="186">
        <v>2012</v>
      </c>
      <c r="K937" s="226" t="s">
        <v>30</v>
      </c>
      <c r="L937" s="226" t="s">
        <v>2638</v>
      </c>
      <c r="M937" s="226" t="s">
        <v>869</v>
      </c>
      <c r="N937" s="184">
        <v>3509.9989920000003</v>
      </c>
      <c r="Q937" s="221">
        <v>10</v>
      </c>
      <c r="R937" s="223">
        <f t="shared" si="99"/>
        <v>29.249991600000001</v>
      </c>
      <c r="S937" s="198">
        <f t="shared" si="102"/>
        <v>584.99983199999997</v>
      </c>
      <c r="T937" s="223">
        <f t="shared" si="103"/>
        <v>2924.9991600000003</v>
      </c>
      <c r="U937" s="221">
        <v>17317</v>
      </c>
      <c r="X937" s="196">
        <f t="shared" si="101"/>
        <v>20</v>
      </c>
    </row>
    <row r="938" spans="2:24">
      <c r="B938" s="185" t="s">
        <v>2642</v>
      </c>
      <c r="F938" s="185" t="s">
        <v>2653</v>
      </c>
      <c r="G938" s="220">
        <v>41131</v>
      </c>
      <c r="H938" s="187">
        <v>10</v>
      </c>
      <c r="I938" s="187">
        <v>8</v>
      </c>
      <c r="J938" s="186">
        <v>2012</v>
      </c>
      <c r="K938" s="226" t="s">
        <v>30</v>
      </c>
      <c r="L938" s="226" t="s">
        <v>2638</v>
      </c>
      <c r="M938" s="226" t="s">
        <v>869</v>
      </c>
      <c r="N938" s="184">
        <v>3509.9989920000003</v>
      </c>
      <c r="Q938" s="221">
        <v>10</v>
      </c>
      <c r="R938" s="223">
        <f t="shared" si="99"/>
        <v>29.249991600000001</v>
      </c>
      <c r="S938" s="198">
        <f t="shared" si="102"/>
        <v>584.99983199999997</v>
      </c>
      <c r="T938" s="223">
        <f t="shared" si="103"/>
        <v>2924.9991600000003</v>
      </c>
      <c r="U938" s="221">
        <v>17317</v>
      </c>
      <c r="X938" s="196">
        <f t="shared" si="101"/>
        <v>20</v>
      </c>
    </row>
    <row r="939" spans="2:24">
      <c r="B939" s="185" t="s">
        <v>2642</v>
      </c>
      <c r="F939" s="185" t="s">
        <v>2653</v>
      </c>
      <c r="G939" s="220">
        <v>41131</v>
      </c>
      <c r="H939" s="187">
        <v>10</v>
      </c>
      <c r="I939" s="187">
        <v>8</v>
      </c>
      <c r="J939" s="186">
        <v>2012</v>
      </c>
      <c r="K939" s="226" t="s">
        <v>30</v>
      </c>
      <c r="L939" s="226" t="s">
        <v>2638</v>
      </c>
      <c r="M939" s="226" t="s">
        <v>869</v>
      </c>
      <c r="N939" s="184">
        <v>3509.9989920000003</v>
      </c>
      <c r="Q939" s="221">
        <v>10</v>
      </c>
      <c r="R939" s="223">
        <f t="shared" si="99"/>
        <v>29.249991600000001</v>
      </c>
      <c r="S939" s="198">
        <f t="shared" si="102"/>
        <v>584.99983199999997</v>
      </c>
      <c r="T939" s="223">
        <f t="shared" si="103"/>
        <v>2924.9991600000003</v>
      </c>
      <c r="U939" s="221">
        <v>17317</v>
      </c>
      <c r="X939" s="196">
        <f t="shared" si="101"/>
        <v>20</v>
      </c>
    </row>
    <row r="940" spans="2:24">
      <c r="B940" s="185" t="s">
        <v>2642</v>
      </c>
      <c r="F940" s="185" t="s">
        <v>2653</v>
      </c>
      <c r="G940" s="220">
        <v>41131</v>
      </c>
      <c r="H940" s="187">
        <v>10</v>
      </c>
      <c r="I940" s="187">
        <v>8</v>
      </c>
      <c r="J940" s="186">
        <v>2012</v>
      </c>
      <c r="K940" s="226" t="s">
        <v>30</v>
      </c>
      <c r="L940" s="226" t="s">
        <v>2638</v>
      </c>
      <c r="M940" s="226" t="s">
        <v>869</v>
      </c>
      <c r="N940" s="184">
        <v>3509.9989920000003</v>
      </c>
      <c r="Q940" s="221">
        <v>10</v>
      </c>
      <c r="R940" s="223">
        <f t="shared" si="99"/>
        <v>29.249991600000001</v>
      </c>
      <c r="S940" s="198">
        <f t="shared" si="102"/>
        <v>584.99983199999997</v>
      </c>
      <c r="T940" s="223">
        <f t="shared" si="103"/>
        <v>2924.9991600000003</v>
      </c>
      <c r="U940" s="221">
        <v>17317</v>
      </c>
      <c r="X940" s="196">
        <f t="shared" si="101"/>
        <v>20</v>
      </c>
    </row>
    <row r="941" spans="2:24">
      <c r="B941" s="185" t="s">
        <v>2642</v>
      </c>
      <c r="F941" s="185" t="s">
        <v>2653</v>
      </c>
      <c r="G941" s="220">
        <v>41131</v>
      </c>
      <c r="H941" s="187">
        <v>10</v>
      </c>
      <c r="I941" s="187">
        <v>8</v>
      </c>
      <c r="J941" s="186">
        <v>2012</v>
      </c>
      <c r="K941" s="226" t="s">
        <v>30</v>
      </c>
      <c r="L941" s="226" t="s">
        <v>2638</v>
      </c>
      <c r="M941" s="226" t="s">
        <v>869</v>
      </c>
      <c r="N941" s="184">
        <v>3509.9989920000003</v>
      </c>
      <c r="Q941" s="221">
        <v>10</v>
      </c>
      <c r="R941" s="223">
        <f t="shared" si="99"/>
        <v>29.249991600000001</v>
      </c>
      <c r="S941" s="198">
        <f t="shared" si="102"/>
        <v>584.99983199999997</v>
      </c>
      <c r="T941" s="223">
        <f t="shared" si="103"/>
        <v>2924.9991600000003</v>
      </c>
      <c r="U941" s="221">
        <v>17317</v>
      </c>
      <c r="X941" s="196">
        <f t="shared" si="101"/>
        <v>20</v>
      </c>
    </row>
    <row r="942" spans="2:24">
      <c r="B942" s="185" t="s">
        <v>2642</v>
      </c>
      <c r="F942" s="185" t="s">
        <v>2653</v>
      </c>
      <c r="G942" s="220">
        <v>41131</v>
      </c>
      <c r="H942" s="187">
        <v>10</v>
      </c>
      <c r="I942" s="187">
        <v>8</v>
      </c>
      <c r="J942" s="186">
        <v>2012</v>
      </c>
      <c r="K942" s="226" t="s">
        <v>30</v>
      </c>
      <c r="L942" s="226" t="s">
        <v>2638</v>
      </c>
      <c r="M942" s="226" t="s">
        <v>869</v>
      </c>
      <c r="N942" s="184">
        <v>3509.9989920000003</v>
      </c>
      <c r="Q942" s="221">
        <v>10</v>
      </c>
      <c r="R942" s="223">
        <f t="shared" si="99"/>
        <v>29.249991600000001</v>
      </c>
      <c r="S942" s="198">
        <f t="shared" si="102"/>
        <v>584.99983199999997</v>
      </c>
      <c r="T942" s="223">
        <f t="shared" si="103"/>
        <v>2924.9991600000003</v>
      </c>
      <c r="U942" s="221">
        <v>17317</v>
      </c>
      <c r="X942" s="196">
        <f t="shared" si="101"/>
        <v>20</v>
      </c>
    </row>
    <row r="943" spans="2:24">
      <c r="B943" s="185" t="s">
        <v>2642</v>
      </c>
      <c r="F943" s="185" t="s">
        <v>2653</v>
      </c>
      <c r="G943" s="220">
        <v>41131</v>
      </c>
      <c r="H943" s="187">
        <v>10</v>
      </c>
      <c r="I943" s="187">
        <v>8</v>
      </c>
      <c r="J943" s="186">
        <v>2012</v>
      </c>
      <c r="K943" s="226" t="s">
        <v>30</v>
      </c>
      <c r="L943" s="226" t="s">
        <v>2638</v>
      </c>
      <c r="M943" s="226" t="s">
        <v>869</v>
      </c>
      <c r="N943" s="184">
        <v>3509.9989920000003</v>
      </c>
      <c r="Q943" s="221">
        <v>10</v>
      </c>
      <c r="R943" s="223">
        <f t="shared" si="99"/>
        <v>29.249991600000001</v>
      </c>
      <c r="S943" s="198">
        <f t="shared" si="102"/>
        <v>584.99983199999997</v>
      </c>
      <c r="T943" s="223">
        <f t="shared" si="103"/>
        <v>2924.9991600000003</v>
      </c>
      <c r="U943" s="221">
        <v>17317</v>
      </c>
      <c r="X943" s="196">
        <f t="shared" si="101"/>
        <v>20</v>
      </c>
    </row>
    <row r="944" spans="2:24">
      <c r="B944" s="185" t="s">
        <v>2642</v>
      </c>
      <c r="F944" s="185" t="s">
        <v>2653</v>
      </c>
      <c r="G944" s="220">
        <v>41131</v>
      </c>
      <c r="H944" s="187">
        <v>10</v>
      </c>
      <c r="I944" s="187">
        <v>8</v>
      </c>
      <c r="J944" s="186">
        <v>2012</v>
      </c>
      <c r="K944" s="226" t="s">
        <v>30</v>
      </c>
      <c r="L944" s="226" t="s">
        <v>2638</v>
      </c>
      <c r="M944" s="226" t="s">
        <v>869</v>
      </c>
      <c r="N944" s="184">
        <f>3509.998992-0.09</f>
        <v>3509.9089919999997</v>
      </c>
      <c r="Q944" s="221">
        <v>10</v>
      </c>
      <c r="R944" s="223">
        <f t="shared" si="99"/>
        <v>29.249241599999994</v>
      </c>
      <c r="S944" s="198">
        <f t="shared" si="102"/>
        <v>584.98483199999987</v>
      </c>
      <c r="T944" s="223">
        <f t="shared" si="103"/>
        <v>2924.9241599999996</v>
      </c>
      <c r="U944" s="221">
        <v>17317</v>
      </c>
      <c r="X944" s="196">
        <f t="shared" si="101"/>
        <v>20</v>
      </c>
    </row>
    <row r="945" spans="1:24">
      <c r="B945" s="185" t="s">
        <v>2655</v>
      </c>
      <c r="C945" s="185" t="s">
        <v>2000</v>
      </c>
      <c r="D945" s="185" t="s">
        <v>2656</v>
      </c>
      <c r="F945" s="185" t="s">
        <v>962</v>
      </c>
      <c r="G945" s="220">
        <v>41131</v>
      </c>
      <c r="H945" s="187">
        <v>10</v>
      </c>
      <c r="I945" s="187">
        <v>8</v>
      </c>
      <c r="J945" s="186">
        <v>2012</v>
      </c>
      <c r="K945" s="226" t="s">
        <v>30</v>
      </c>
      <c r="L945" s="226" t="s">
        <v>2654</v>
      </c>
      <c r="M945" s="226" t="s">
        <v>869</v>
      </c>
      <c r="N945" s="184">
        <f>4284*1.16</f>
        <v>4969.4399999999996</v>
      </c>
      <c r="Q945" s="221">
        <v>10</v>
      </c>
      <c r="R945" s="223">
        <f t="shared" si="99"/>
        <v>41.411999999999999</v>
      </c>
      <c r="S945" s="198">
        <f t="shared" ref="S945:S948" si="104">X945*R945</f>
        <v>828.24</v>
      </c>
      <c r="T945" s="223">
        <f t="shared" ref="T945:T948" si="105">N945-S945</f>
        <v>4141.2</v>
      </c>
      <c r="U945" s="221">
        <v>17315</v>
      </c>
      <c r="X945" s="196">
        <f t="shared" si="101"/>
        <v>20</v>
      </c>
    </row>
    <row r="946" spans="1:24">
      <c r="B946" s="185" t="s">
        <v>2655</v>
      </c>
      <c r="C946" s="185" t="s">
        <v>2000</v>
      </c>
      <c r="D946" s="185" t="s">
        <v>2656</v>
      </c>
      <c r="F946" s="185" t="s">
        <v>962</v>
      </c>
      <c r="G946" s="220">
        <v>41131</v>
      </c>
      <c r="H946" s="187">
        <v>10</v>
      </c>
      <c r="I946" s="187">
        <v>8</v>
      </c>
      <c r="J946" s="186">
        <v>2012</v>
      </c>
      <c r="K946" s="226" t="s">
        <v>30</v>
      </c>
      <c r="L946" s="226" t="s">
        <v>2654</v>
      </c>
      <c r="M946" s="226" t="s">
        <v>869</v>
      </c>
      <c r="N946" s="184">
        <f t="shared" ref="N946:N948" si="106">4284*1.16</f>
        <v>4969.4399999999996</v>
      </c>
      <c r="Q946" s="221">
        <v>10</v>
      </c>
      <c r="R946" s="223">
        <f t="shared" si="99"/>
        <v>41.411999999999999</v>
      </c>
      <c r="S946" s="198">
        <f t="shared" si="104"/>
        <v>828.24</v>
      </c>
      <c r="T946" s="223">
        <f t="shared" si="105"/>
        <v>4141.2</v>
      </c>
      <c r="U946" s="221">
        <v>17315</v>
      </c>
      <c r="X946" s="196">
        <f t="shared" si="101"/>
        <v>20</v>
      </c>
    </row>
    <row r="947" spans="1:24">
      <c r="B947" s="185" t="s">
        <v>2655</v>
      </c>
      <c r="C947" s="185" t="s">
        <v>2000</v>
      </c>
      <c r="D947" s="185" t="s">
        <v>2656</v>
      </c>
      <c r="F947" s="185" t="s">
        <v>962</v>
      </c>
      <c r="G947" s="220">
        <v>41131</v>
      </c>
      <c r="H947" s="187">
        <v>10</v>
      </c>
      <c r="I947" s="187">
        <v>8</v>
      </c>
      <c r="J947" s="186">
        <v>2012</v>
      </c>
      <c r="K947" s="226" t="s">
        <v>30</v>
      </c>
      <c r="L947" s="226" t="s">
        <v>2654</v>
      </c>
      <c r="M947" s="226" t="s">
        <v>869</v>
      </c>
      <c r="N947" s="184">
        <f t="shared" si="106"/>
        <v>4969.4399999999996</v>
      </c>
      <c r="Q947" s="221">
        <v>10</v>
      </c>
      <c r="R947" s="223">
        <f t="shared" si="99"/>
        <v>41.411999999999999</v>
      </c>
      <c r="S947" s="198">
        <f t="shared" si="104"/>
        <v>828.24</v>
      </c>
      <c r="T947" s="223">
        <f t="shared" si="105"/>
        <v>4141.2</v>
      </c>
      <c r="U947" s="221">
        <v>17315</v>
      </c>
      <c r="X947" s="196">
        <f t="shared" si="101"/>
        <v>20</v>
      </c>
    </row>
    <row r="948" spans="1:24">
      <c r="B948" s="185" t="s">
        <v>2655</v>
      </c>
      <c r="C948" s="185" t="s">
        <v>2000</v>
      </c>
      <c r="D948" s="185" t="s">
        <v>2656</v>
      </c>
      <c r="F948" s="185" t="s">
        <v>962</v>
      </c>
      <c r="G948" s="220">
        <v>41131</v>
      </c>
      <c r="H948" s="187">
        <v>10</v>
      </c>
      <c r="I948" s="187">
        <v>8</v>
      </c>
      <c r="J948" s="186">
        <v>2012</v>
      </c>
      <c r="K948" s="226" t="s">
        <v>30</v>
      </c>
      <c r="L948" s="226" t="s">
        <v>2654</v>
      </c>
      <c r="M948" s="226" t="s">
        <v>869</v>
      </c>
      <c r="N948" s="184">
        <f t="shared" si="106"/>
        <v>4969.4399999999996</v>
      </c>
      <c r="Q948" s="221">
        <v>10</v>
      </c>
      <c r="R948" s="223">
        <f t="shared" si="99"/>
        <v>41.411999999999999</v>
      </c>
      <c r="S948" s="198">
        <f t="shared" si="104"/>
        <v>828.24</v>
      </c>
      <c r="T948" s="223">
        <f t="shared" si="105"/>
        <v>4141.2</v>
      </c>
      <c r="U948" s="221">
        <v>17315</v>
      </c>
      <c r="X948" s="196">
        <f t="shared" si="101"/>
        <v>20</v>
      </c>
    </row>
    <row r="949" spans="1:24">
      <c r="B949" s="185" t="s">
        <v>1689</v>
      </c>
      <c r="C949" s="185" t="s">
        <v>426</v>
      </c>
      <c r="D949" s="185" t="s">
        <v>2657</v>
      </c>
      <c r="F949" s="185" t="s">
        <v>89</v>
      </c>
      <c r="G949" s="220">
        <v>41122</v>
      </c>
      <c r="H949" s="187">
        <v>1</v>
      </c>
      <c r="I949" s="187">
        <v>8</v>
      </c>
      <c r="J949" s="186">
        <v>2012</v>
      </c>
      <c r="K949" s="226" t="s">
        <v>30</v>
      </c>
      <c r="L949" s="226" t="s">
        <v>2658</v>
      </c>
      <c r="M949" s="226" t="s">
        <v>869</v>
      </c>
      <c r="N949" s="184">
        <v>5995</v>
      </c>
      <c r="Q949" s="221">
        <v>10</v>
      </c>
      <c r="R949" s="223">
        <f t="shared" si="99"/>
        <v>49.958333333333336</v>
      </c>
      <c r="S949" s="198">
        <f t="shared" ref="S949" si="107">X949*R949</f>
        <v>999.16666666666674</v>
      </c>
      <c r="T949" s="223">
        <f t="shared" ref="T949" si="108">N949-S949</f>
        <v>4995.833333333333</v>
      </c>
      <c r="U949" s="221">
        <v>17375</v>
      </c>
      <c r="X949" s="196">
        <f t="shared" si="101"/>
        <v>20</v>
      </c>
    </row>
    <row r="950" spans="1:24">
      <c r="B950" s="185" t="s">
        <v>2660</v>
      </c>
      <c r="C950" s="185" t="s">
        <v>2659</v>
      </c>
      <c r="D950" s="185">
        <v>3300</v>
      </c>
      <c r="F950" s="185" t="s">
        <v>89</v>
      </c>
      <c r="G950" s="220">
        <v>41122</v>
      </c>
      <c r="H950" s="187">
        <v>1</v>
      </c>
      <c r="I950" s="187">
        <v>8</v>
      </c>
      <c r="J950" s="186">
        <v>2012</v>
      </c>
      <c r="K950" s="226" t="s">
        <v>30</v>
      </c>
      <c r="L950" s="226" t="s">
        <v>2661</v>
      </c>
      <c r="M950" s="226" t="s">
        <v>869</v>
      </c>
      <c r="N950" s="184">
        <v>1675</v>
      </c>
      <c r="Q950" s="221">
        <v>10</v>
      </c>
      <c r="R950" s="223">
        <f t="shared" si="99"/>
        <v>13.958333333333334</v>
      </c>
      <c r="S950" s="198">
        <f t="shared" ref="S950" si="109">X950*R950</f>
        <v>279.16666666666669</v>
      </c>
      <c r="T950" s="223">
        <f t="shared" ref="T950" si="110">N950-S950</f>
        <v>1395.8333333333333</v>
      </c>
      <c r="U950" s="221">
        <v>17375</v>
      </c>
      <c r="X950" s="196">
        <f t="shared" si="101"/>
        <v>20</v>
      </c>
    </row>
    <row r="951" spans="1:24">
      <c r="B951" s="185" t="s">
        <v>2660</v>
      </c>
      <c r="C951" s="185" t="s">
        <v>2659</v>
      </c>
      <c r="D951" s="185">
        <v>3300</v>
      </c>
      <c r="F951" s="185" t="s">
        <v>89</v>
      </c>
      <c r="G951" s="220">
        <v>41122</v>
      </c>
      <c r="H951" s="187">
        <v>1</v>
      </c>
      <c r="I951" s="187">
        <v>8</v>
      </c>
      <c r="J951" s="186">
        <v>2012</v>
      </c>
      <c r="K951" s="226" t="s">
        <v>30</v>
      </c>
      <c r="L951" s="226" t="s">
        <v>2661</v>
      </c>
      <c r="M951" s="226" t="s">
        <v>869</v>
      </c>
      <c r="N951" s="184">
        <v>1675</v>
      </c>
      <c r="Q951" s="221">
        <v>10</v>
      </c>
      <c r="R951" s="223">
        <f t="shared" si="99"/>
        <v>13.958333333333334</v>
      </c>
      <c r="S951" s="198">
        <f t="shared" ref="S951:S952" si="111">X951*R951</f>
        <v>279.16666666666669</v>
      </c>
      <c r="T951" s="223">
        <f t="shared" ref="T951:T952" si="112">N951-S951</f>
        <v>1395.8333333333333</v>
      </c>
      <c r="U951" s="221">
        <v>17375</v>
      </c>
      <c r="X951" s="196">
        <f t="shared" si="101"/>
        <v>20</v>
      </c>
    </row>
    <row r="952" spans="1:24">
      <c r="B952" s="185" t="s">
        <v>2660</v>
      </c>
      <c r="C952" s="185" t="s">
        <v>2659</v>
      </c>
      <c r="D952" s="185">
        <v>3300</v>
      </c>
      <c r="F952" s="185" t="s">
        <v>89</v>
      </c>
      <c r="G952" s="220">
        <v>41122</v>
      </c>
      <c r="H952" s="187">
        <v>1</v>
      </c>
      <c r="I952" s="187">
        <v>8</v>
      </c>
      <c r="J952" s="186">
        <v>2012</v>
      </c>
      <c r="K952" s="226" t="s">
        <v>30</v>
      </c>
      <c r="L952" s="226" t="s">
        <v>2661</v>
      </c>
      <c r="M952" s="226" t="s">
        <v>869</v>
      </c>
      <c r="N952" s="184">
        <v>1675</v>
      </c>
      <c r="Q952" s="221">
        <v>10</v>
      </c>
      <c r="R952" s="223">
        <f t="shared" si="99"/>
        <v>13.958333333333334</v>
      </c>
      <c r="S952" s="198">
        <f t="shared" si="111"/>
        <v>279.16666666666669</v>
      </c>
      <c r="T952" s="223">
        <f t="shared" si="112"/>
        <v>1395.8333333333333</v>
      </c>
      <c r="U952" s="221">
        <v>17375</v>
      </c>
      <c r="X952" s="196">
        <f t="shared" si="101"/>
        <v>20</v>
      </c>
    </row>
    <row r="953" spans="1:24">
      <c r="B953" s="185" t="s">
        <v>2662</v>
      </c>
      <c r="C953" s="185" t="s">
        <v>956</v>
      </c>
      <c r="D953" s="185" t="s">
        <v>2663</v>
      </c>
      <c r="F953" s="185" t="s">
        <v>89</v>
      </c>
      <c r="G953" s="220">
        <v>41122</v>
      </c>
      <c r="H953" s="187">
        <v>1</v>
      </c>
      <c r="I953" s="187">
        <v>8</v>
      </c>
      <c r="J953" s="186">
        <v>2012</v>
      </c>
      <c r="K953" s="226" t="s">
        <v>30</v>
      </c>
      <c r="L953" s="226" t="s">
        <v>2664</v>
      </c>
      <c r="M953" s="226" t="s">
        <v>869</v>
      </c>
      <c r="N953" s="184">
        <v>29575</v>
      </c>
      <c r="Q953" s="221">
        <v>10</v>
      </c>
      <c r="R953" s="223">
        <f t="shared" si="99"/>
        <v>246.45833333333334</v>
      </c>
      <c r="S953" s="198">
        <f t="shared" ref="S953" si="113">X953*R953</f>
        <v>4929.166666666667</v>
      </c>
      <c r="T953" s="223">
        <f t="shared" ref="T953" si="114">N953-S953</f>
        <v>24645.833333333332</v>
      </c>
      <c r="U953" s="221">
        <v>17375</v>
      </c>
      <c r="X953" s="196">
        <f t="shared" si="101"/>
        <v>20</v>
      </c>
    </row>
    <row r="954" spans="1:24">
      <c r="B954" s="185" t="s">
        <v>2660</v>
      </c>
      <c r="C954" s="185" t="s">
        <v>2659</v>
      </c>
      <c r="D954" s="185">
        <v>3300</v>
      </c>
      <c r="F954" s="185" t="s">
        <v>89</v>
      </c>
      <c r="G954" s="220">
        <v>41122</v>
      </c>
      <c r="H954" s="187">
        <v>1</v>
      </c>
      <c r="I954" s="187">
        <v>8</v>
      </c>
      <c r="J954" s="186">
        <v>2012</v>
      </c>
      <c r="K954" s="226" t="s">
        <v>30</v>
      </c>
      <c r="L954" s="226" t="s">
        <v>2670</v>
      </c>
      <c r="M954" s="226" t="s">
        <v>869</v>
      </c>
      <c r="N954" s="184">
        <v>1675</v>
      </c>
      <c r="Q954" s="221">
        <v>10</v>
      </c>
      <c r="R954" s="223">
        <f t="shared" si="99"/>
        <v>13.958333333333334</v>
      </c>
      <c r="S954" s="198">
        <f t="shared" ref="S954:S985" si="115">X954*R954</f>
        <v>279.16666666666669</v>
      </c>
      <c r="T954" s="223">
        <f t="shared" ref="T954:T985" si="116">N954-S954</f>
        <v>1395.8333333333333</v>
      </c>
      <c r="U954" s="221">
        <v>17375</v>
      </c>
      <c r="X954" s="196">
        <f t="shared" si="101"/>
        <v>20</v>
      </c>
    </row>
    <row r="955" spans="1:24">
      <c r="B955" s="185" t="s">
        <v>2660</v>
      </c>
      <c r="C955" s="185" t="s">
        <v>2659</v>
      </c>
      <c r="D955" s="185">
        <v>3300</v>
      </c>
      <c r="F955" s="185" t="s">
        <v>89</v>
      </c>
      <c r="G955" s="220">
        <v>41122</v>
      </c>
      <c r="H955" s="187">
        <v>1</v>
      </c>
      <c r="I955" s="187">
        <v>8</v>
      </c>
      <c r="J955" s="186">
        <v>2012</v>
      </c>
      <c r="K955" s="226" t="s">
        <v>30</v>
      </c>
      <c r="L955" s="226" t="s">
        <v>2670</v>
      </c>
      <c r="M955" s="226" t="s">
        <v>869</v>
      </c>
      <c r="N955" s="184">
        <v>1675</v>
      </c>
      <c r="Q955" s="221">
        <v>10</v>
      </c>
      <c r="R955" s="223">
        <f t="shared" si="99"/>
        <v>13.958333333333334</v>
      </c>
      <c r="S955" s="198">
        <f t="shared" si="115"/>
        <v>279.16666666666669</v>
      </c>
      <c r="T955" s="223">
        <f t="shared" si="116"/>
        <v>1395.8333333333333</v>
      </c>
      <c r="U955" s="221">
        <v>17375</v>
      </c>
      <c r="X955" s="196">
        <f t="shared" si="101"/>
        <v>20</v>
      </c>
    </row>
    <row r="956" spans="1:24">
      <c r="B956" s="185" t="s">
        <v>2660</v>
      </c>
      <c r="C956" s="185" t="s">
        <v>2659</v>
      </c>
      <c r="D956" s="185">
        <v>3300</v>
      </c>
      <c r="F956" s="185" t="s">
        <v>89</v>
      </c>
      <c r="G956" s="220">
        <v>41122</v>
      </c>
      <c r="H956" s="187">
        <v>1</v>
      </c>
      <c r="I956" s="187">
        <v>8</v>
      </c>
      <c r="J956" s="186">
        <v>2012</v>
      </c>
      <c r="K956" s="226" t="s">
        <v>30</v>
      </c>
      <c r="L956" s="226" t="s">
        <v>2670</v>
      </c>
      <c r="M956" s="226" t="s">
        <v>869</v>
      </c>
      <c r="N956" s="184">
        <v>1675</v>
      </c>
      <c r="Q956" s="221">
        <v>10</v>
      </c>
      <c r="R956" s="223">
        <f t="shared" si="99"/>
        <v>13.958333333333334</v>
      </c>
      <c r="S956" s="198">
        <f t="shared" si="115"/>
        <v>279.16666666666669</v>
      </c>
      <c r="T956" s="223">
        <f t="shared" si="116"/>
        <v>1395.8333333333333</v>
      </c>
      <c r="U956" s="221">
        <v>17375</v>
      </c>
      <c r="X956" s="196">
        <f t="shared" si="101"/>
        <v>20</v>
      </c>
    </row>
    <row r="957" spans="1:24">
      <c r="B957" s="185" t="s">
        <v>2660</v>
      </c>
      <c r="C957" s="185" t="s">
        <v>2659</v>
      </c>
      <c r="D957" s="185">
        <v>3300</v>
      </c>
      <c r="F957" s="185" t="s">
        <v>89</v>
      </c>
      <c r="G957" s="220">
        <v>41122</v>
      </c>
      <c r="H957" s="187">
        <v>1</v>
      </c>
      <c r="I957" s="187">
        <v>8</v>
      </c>
      <c r="J957" s="186">
        <v>2012</v>
      </c>
      <c r="K957" s="226" t="s">
        <v>30</v>
      </c>
      <c r="L957" s="226" t="s">
        <v>2670</v>
      </c>
      <c r="M957" s="226" t="s">
        <v>869</v>
      </c>
      <c r="N957" s="184">
        <v>1675</v>
      </c>
      <c r="Q957" s="221">
        <v>10</v>
      </c>
      <c r="R957" s="223">
        <f t="shared" ref="R957:R985" si="117">(N957/Q957)/12</f>
        <v>13.958333333333334</v>
      </c>
      <c r="S957" s="198">
        <f t="shared" si="115"/>
        <v>279.16666666666669</v>
      </c>
      <c r="T957" s="223">
        <f t="shared" si="116"/>
        <v>1395.8333333333333</v>
      </c>
      <c r="U957" s="221">
        <v>17375</v>
      </c>
      <c r="X957" s="196">
        <f t="shared" ref="X957:X985" si="118">IF((DATEDIF(G957,X$4,"m"))&gt;=120,120,(DATEDIF(G957,X$4,"m")))</f>
        <v>20</v>
      </c>
    </row>
    <row r="958" spans="1:24">
      <c r="B958" s="185" t="s">
        <v>2660</v>
      </c>
      <c r="C958" s="185" t="s">
        <v>2659</v>
      </c>
      <c r="D958" s="185">
        <v>3300</v>
      </c>
      <c r="F958" s="185" t="s">
        <v>89</v>
      </c>
      <c r="G958" s="220">
        <v>41122</v>
      </c>
      <c r="H958" s="187">
        <v>1</v>
      </c>
      <c r="I958" s="187">
        <v>8</v>
      </c>
      <c r="J958" s="186">
        <v>2012</v>
      </c>
      <c r="K958" s="226" t="s">
        <v>30</v>
      </c>
      <c r="L958" s="226" t="s">
        <v>2670</v>
      </c>
      <c r="M958" s="226" t="s">
        <v>869</v>
      </c>
      <c r="N958" s="184">
        <v>1675</v>
      </c>
      <c r="Q958" s="221">
        <v>10</v>
      </c>
      <c r="R958" s="223">
        <f t="shared" si="117"/>
        <v>13.958333333333334</v>
      </c>
      <c r="S958" s="198">
        <f t="shared" si="115"/>
        <v>279.16666666666669</v>
      </c>
      <c r="T958" s="223">
        <f t="shared" si="116"/>
        <v>1395.8333333333333</v>
      </c>
      <c r="U958" s="221">
        <v>17375</v>
      </c>
      <c r="X958" s="196">
        <f t="shared" si="118"/>
        <v>20</v>
      </c>
    </row>
    <row r="959" spans="1:24">
      <c r="B959" s="185" t="s">
        <v>2660</v>
      </c>
      <c r="C959" s="185" t="s">
        <v>2659</v>
      </c>
      <c r="D959" s="185">
        <v>3300</v>
      </c>
      <c r="F959" s="185" t="s">
        <v>89</v>
      </c>
      <c r="G959" s="220">
        <v>41122</v>
      </c>
      <c r="H959" s="187">
        <v>1</v>
      </c>
      <c r="I959" s="187">
        <v>8</v>
      </c>
      <c r="J959" s="186">
        <v>2012</v>
      </c>
      <c r="K959" s="226" t="s">
        <v>30</v>
      </c>
      <c r="L959" s="226" t="s">
        <v>2670</v>
      </c>
      <c r="M959" s="226" t="s">
        <v>869</v>
      </c>
      <c r="N959" s="184">
        <v>1675</v>
      </c>
      <c r="Q959" s="221">
        <v>10</v>
      </c>
      <c r="R959" s="223">
        <f t="shared" si="117"/>
        <v>13.958333333333334</v>
      </c>
      <c r="S959" s="198">
        <f t="shared" si="115"/>
        <v>279.16666666666669</v>
      </c>
      <c r="T959" s="223">
        <f t="shared" si="116"/>
        <v>1395.8333333333333</v>
      </c>
      <c r="U959" s="221">
        <v>17375</v>
      </c>
      <c r="X959" s="196">
        <f t="shared" si="118"/>
        <v>20</v>
      </c>
    </row>
    <row r="960" spans="1:24" s="431" customFormat="1">
      <c r="A960" s="426"/>
      <c r="B960" s="426" t="s">
        <v>2666</v>
      </c>
      <c r="C960" s="426"/>
      <c r="D960" s="426"/>
      <c r="E960" s="426"/>
      <c r="F960" s="426" t="s">
        <v>928</v>
      </c>
      <c r="G960" s="427">
        <v>41122</v>
      </c>
      <c r="H960" s="428">
        <v>1</v>
      </c>
      <c r="I960" s="428">
        <v>8</v>
      </c>
      <c r="J960" s="429">
        <v>2012</v>
      </c>
      <c r="K960" s="430" t="s">
        <v>30</v>
      </c>
      <c r="L960" s="430" t="s">
        <v>2665</v>
      </c>
      <c r="M960" s="430" t="s">
        <v>869</v>
      </c>
      <c r="N960" s="184">
        <v>725</v>
      </c>
      <c r="O960" s="184"/>
      <c r="Q960" s="432">
        <v>10</v>
      </c>
      <c r="R960" s="433">
        <f t="shared" si="117"/>
        <v>6.041666666666667</v>
      </c>
      <c r="S960" s="434">
        <f t="shared" si="115"/>
        <v>120.83333333333334</v>
      </c>
      <c r="T960" s="433">
        <f t="shared" si="116"/>
        <v>604.16666666666663</v>
      </c>
      <c r="U960" s="432">
        <v>17384</v>
      </c>
      <c r="X960" s="435">
        <f t="shared" si="118"/>
        <v>20</v>
      </c>
    </row>
    <row r="961" spans="1:24" s="431" customFormat="1">
      <c r="A961" s="426"/>
      <c r="B961" s="426" t="s">
        <v>2666</v>
      </c>
      <c r="C961" s="426"/>
      <c r="D961" s="426"/>
      <c r="E961" s="426"/>
      <c r="F961" s="426" t="s">
        <v>928</v>
      </c>
      <c r="G961" s="427">
        <v>41122</v>
      </c>
      <c r="H961" s="428">
        <v>1</v>
      </c>
      <c r="I961" s="428">
        <v>8</v>
      </c>
      <c r="J961" s="429">
        <v>2012</v>
      </c>
      <c r="K961" s="430" t="s">
        <v>30</v>
      </c>
      <c r="L961" s="430" t="s">
        <v>2665</v>
      </c>
      <c r="M961" s="430" t="s">
        <v>869</v>
      </c>
      <c r="N961" s="184">
        <v>725</v>
      </c>
      <c r="O961" s="184"/>
      <c r="Q961" s="432">
        <v>10</v>
      </c>
      <c r="R961" s="433">
        <f t="shared" si="117"/>
        <v>6.041666666666667</v>
      </c>
      <c r="S961" s="434">
        <f t="shared" si="115"/>
        <v>120.83333333333334</v>
      </c>
      <c r="T961" s="433">
        <f t="shared" si="116"/>
        <v>604.16666666666663</v>
      </c>
      <c r="U961" s="432">
        <v>17384</v>
      </c>
      <c r="X961" s="435">
        <f t="shared" si="118"/>
        <v>20</v>
      </c>
    </row>
    <row r="962" spans="1:24" s="431" customFormat="1">
      <c r="A962" s="426"/>
      <c r="B962" s="426" t="s">
        <v>2666</v>
      </c>
      <c r="C962" s="426"/>
      <c r="D962" s="426"/>
      <c r="E962" s="426"/>
      <c r="F962" s="426" t="s">
        <v>928</v>
      </c>
      <c r="G962" s="427">
        <v>41122</v>
      </c>
      <c r="H962" s="428">
        <v>1</v>
      </c>
      <c r="I962" s="428">
        <v>8</v>
      </c>
      <c r="J962" s="429">
        <v>2012</v>
      </c>
      <c r="K962" s="430" t="s">
        <v>30</v>
      </c>
      <c r="L962" s="430" t="s">
        <v>2665</v>
      </c>
      <c r="M962" s="430" t="s">
        <v>869</v>
      </c>
      <c r="N962" s="184">
        <v>725</v>
      </c>
      <c r="O962" s="184"/>
      <c r="Q962" s="432">
        <v>10</v>
      </c>
      <c r="R962" s="433">
        <f t="shared" si="117"/>
        <v>6.041666666666667</v>
      </c>
      <c r="S962" s="434">
        <f t="shared" si="115"/>
        <v>120.83333333333334</v>
      </c>
      <c r="T962" s="433">
        <f t="shared" si="116"/>
        <v>604.16666666666663</v>
      </c>
      <c r="U962" s="432">
        <v>17384</v>
      </c>
      <c r="X962" s="435">
        <f t="shared" si="118"/>
        <v>20</v>
      </c>
    </row>
    <row r="963" spans="1:24" s="431" customFormat="1">
      <c r="A963" s="426"/>
      <c r="B963" s="426" t="s">
        <v>2666</v>
      </c>
      <c r="C963" s="426"/>
      <c r="D963" s="426"/>
      <c r="E963" s="426"/>
      <c r="F963" s="426" t="s">
        <v>928</v>
      </c>
      <c r="G963" s="427">
        <v>41122</v>
      </c>
      <c r="H963" s="428">
        <v>1</v>
      </c>
      <c r="I963" s="428">
        <v>8</v>
      </c>
      <c r="J963" s="429">
        <v>2012</v>
      </c>
      <c r="K963" s="430" t="s">
        <v>30</v>
      </c>
      <c r="L963" s="430" t="s">
        <v>2665</v>
      </c>
      <c r="M963" s="430" t="s">
        <v>869</v>
      </c>
      <c r="N963" s="184">
        <v>725</v>
      </c>
      <c r="O963" s="184"/>
      <c r="Q963" s="432">
        <v>10</v>
      </c>
      <c r="R963" s="433">
        <f t="shared" si="117"/>
        <v>6.041666666666667</v>
      </c>
      <c r="S963" s="434">
        <f t="shared" si="115"/>
        <v>120.83333333333334</v>
      </c>
      <c r="T963" s="433">
        <f t="shared" si="116"/>
        <v>604.16666666666663</v>
      </c>
      <c r="U963" s="432">
        <v>17384</v>
      </c>
      <c r="X963" s="435">
        <f t="shared" si="118"/>
        <v>20</v>
      </c>
    </row>
    <row r="964" spans="1:24" s="431" customFormat="1">
      <c r="A964" s="426"/>
      <c r="B964" s="426" t="s">
        <v>2666</v>
      </c>
      <c r="C964" s="426"/>
      <c r="D964" s="426"/>
      <c r="E964" s="426"/>
      <c r="F964" s="426" t="s">
        <v>928</v>
      </c>
      <c r="G964" s="427">
        <v>41122</v>
      </c>
      <c r="H964" s="428">
        <v>1</v>
      </c>
      <c r="I964" s="428">
        <v>8</v>
      </c>
      <c r="J964" s="429">
        <v>2012</v>
      </c>
      <c r="K964" s="430" t="s">
        <v>30</v>
      </c>
      <c r="L964" s="430" t="s">
        <v>2665</v>
      </c>
      <c r="M964" s="430" t="s">
        <v>869</v>
      </c>
      <c r="N964" s="184">
        <v>725</v>
      </c>
      <c r="O964" s="184"/>
      <c r="Q964" s="432">
        <v>10</v>
      </c>
      <c r="R964" s="433">
        <f t="shared" si="117"/>
        <v>6.041666666666667</v>
      </c>
      <c r="S964" s="434">
        <f t="shared" si="115"/>
        <v>120.83333333333334</v>
      </c>
      <c r="T964" s="433">
        <f t="shared" si="116"/>
        <v>604.16666666666663</v>
      </c>
      <c r="U964" s="432">
        <v>17384</v>
      </c>
      <c r="X964" s="435">
        <f t="shared" si="118"/>
        <v>20</v>
      </c>
    </row>
    <row r="965" spans="1:24" s="431" customFormat="1">
      <c r="A965" s="426"/>
      <c r="B965" s="426" t="s">
        <v>2666</v>
      </c>
      <c r="C965" s="426"/>
      <c r="D965" s="426"/>
      <c r="E965" s="426"/>
      <c r="F965" s="426" t="s">
        <v>928</v>
      </c>
      <c r="G965" s="427">
        <v>41122</v>
      </c>
      <c r="H965" s="428">
        <v>1</v>
      </c>
      <c r="I965" s="428">
        <v>8</v>
      </c>
      <c r="J965" s="429">
        <v>2012</v>
      </c>
      <c r="K965" s="430" t="s">
        <v>30</v>
      </c>
      <c r="L965" s="430" t="s">
        <v>2665</v>
      </c>
      <c r="M965" s="430" t="s">
        <v>869</v>
      </c>
      <c r="N965" s="184">
        <v>725</v>
      </c>
      <c r="O965" s="184"/>
      <c r="Q965" s="432">
        <v>10</v>
      </c>
      <c r="R965" s="433">
        <f t="shared" si="117"/>
        <v>6.041666666666667</v>
      </c>
      <c r="S965" s="434">
        <f t="shared" si="115"/>
        <v>120.83333333333334</v>
      </c>
      <c r="T965" s="433">
        <f t="shared" si="116"/>
        <v>604.16666666666663</v>
      </c>
      <c r="U965" s="432">
        <v>17384</v>
      </c>
      <c r="X965" s="435">
        <f t="shared" si="118"/>
        <v>20</v>
      </c>
    </row>
    <row r="966" spans="1:24" s="431" customFormat="1">
      <c r="A966" s="426"/>
      <c r="B966" s="426" t="s">
        <v>2666</v>
      </c>
      <c r="C966" s="426"/>
      <c r="D966" s="426"/>
      <c r="E966" s="426"/>
      <c r="F966" s="426" t="s">
        <v>928</v>
      </c>
      <c r="G966" s="427">
        <v>41122</v>
      </c>
      <c r="H966" s="428">
        <v>1</v>
      </c>
      <c r="I966" s="428">
        <v>8</v>
      </c>
      <c r="J966" s="429">
        <v>2012</v>
      </c>
      <c r="K966" s="430" t="s">
        <v>30</v>
      </c>
      <c r="L966" s="430" t="s">
        <v>2665</v>
      </c>
      <c r="M966" s="430" t="s">
        <v>869</v>
      </c>
      <c r="N966" s="184">
        <v>725</v>
      </c>
      <c r="O966" s="184"/>
      <c r="Q966" s="432">
        <v>10</v>
      </c>
      <c r="R966" s="433">
        <f t="shared" si="117"/>
        <v>6.041666666666667</v>
      </c>
      <c r="S966" s="434">
        <f t="shared" si="115"/>
        <v>120.83333333333334</v>
      </c>
      <c r="T966" s="433">
        <f t="shared" si="116"/>
        <v>604.16666666666663</v>
      </c>
      <c r="U966" s="432">
        <v>17384</v>
      </c>
      <c r="X966" s="435">
        <f t="shared" si="118"/>
        <v>20</v>
      </c>
    </row>
    <row r="967" spans="1:24" s="431" customFormat="1">
      <c r="A967" s="426"/>
      <c r="B967" s="426" t="s">
        <v>2666</v>
      </c>
      <c r="C967" s="426"/>
      <c r="D967" s="426"/>
      <c r="E967" s="426"/>
      <c r="F967" s="426" t="s">
        <v>928</v>
      </c>
      <c r="G967" s="427">
        <v>41122</v>
      </c>
      <c r="H967" s="428">
        <v>1</v>
      </c>
      <c r="I967" s="428">
        <v>8</v>
      </c>
      <c r="J967" s="429">
        <v>2012</v>
      </c>
      <c r="K967" s="430" t="s">
        <v>30</v>
      </c>
      <c r="L967" s="430" t="s">
        <v>2665</v>
      </c>
      <c r="M967" s="430" t="s">
        <v>869</v>
      </c>
      <c r="N967" s="184">
        <v>725</v>
      </c>
      <c r="O967" s="184"/>
      <c r="Q967" s="432">
        <v>10</v>
      </c>
      <c r="R967" s="433">
        <f t="shared" si="117"/>
        <v>6.041666666666667</v>
      </c>
      <c r="S967" s="434">
        <f t="shared" si="115"/>
        <v>120.83333333333334</v>
      </c>
      <c r="T967" s="433">
        <f t="shared" si="116"/>
        <v>604.16666666666663</v>
      </c>
      <c r="U967" s="432">
        <v>17384</v>
      </c>
      <c r="X967" s="435">
        <f t="shared" si="118"/>
        <v>20</v>
      </c>
    </row>
    <row r="968" spans="1:24" s="431" customFormat="1">
      <c r="A968" s="426"/>
      <c r="B968" s="426" t="s">
        <v>2666</v>
      </c>
      <c r="C968" s="426"/>
      <c r="D968" s="426"/>
      <c r="E968" s="426"/>
      <c r="F968" s="426" t="s">
        <v>928</v>
      </c>
      <c r="G968" s="427">
        <v>41122</v>
      </c>
      <c r="H968" s="428">
        <v>1</v>
      </c>
      <c r="I968" s="428">
        <v>8</v>
      </c>
      <c r="J968" s="429">
        <v>2012</v>
      </c>
      <c r="K968" s="430" t="s">
        <v>30</v>
      </c>
      <c r="L968" s="430" t="s">
        <v>2665</v>
      </c>
      <c r="M968" s="430" t="s">
        <v>869</v>
      </c>
      <c r="N968" s="184">
        <v>725</v>
      </c>
      <c r="O968" s="184"/>
      <c r="Q968" s="432">
        <v>10</v>
      </c>
      <c r="R968" s="433">
        <f t="shared" si="117"/>
        <v>6.041666666666667</v>
      </c>
      <c r="S968" s="434">
        <f t="shared" si="115"/>
        <v>120.83333333333334</v>
      </c>
      <c r="T968" s="433">
        <f t="shared" si="116"/>
        <v>604.16666666666663</v>
      </c>
      <c r="U968" s="432">
        <v>17384</v>
      </c>
      <c r="X968" s="435">
        <f t="shared" si="118"/>
        <v>20</v>
      </c>
    </row>
    <row r="969" spans="1:24" s="431" customFormat="1">
      <c r="A969" s="426"/>
      <c r="B969" s="426" t="s">
        <v>2666</v>
      </c>
      <c r="C969" s="426"/>
      <c r="D969" s="426"/>
      <c r="E969" s="426"/>
      <c r="F969" s="426" t="s">
        <v>928</v>
      </c>
      <c r="G969" s="427">
        <v>41122</v>
      </c>
      <c r="H969" s="428">
        <v>1</v>
      </c>
      <c r="I969" s="428">
        <v>8</v>
      </c>
      <c r="J969" s="429">
        <v>2012</v>
      </c>
      <c r="K969" s="430" t="s">
        <v>30</v>
      </c>
      <c r="L969" s="430" t="s">
        <v>2665</v>
      </c>
      <c r="M969" s="430" t="s">
        <v>869</v>
      </c>
      <c r="N969" s="184">
        <v>725</v>
      </c>
      <c r="O969" s="184"/>
      <c r="Q969" s="432">
        <v>10</v>
      </c>
      <c r="R969" s="433">
        <f t="shared" si="117"/>
        <v>6.041666666666667</v>
      </c>
      <c r="S969" s="434">
        <f t="shared" si="115"/>
        <v>120.83333333333334</v>
      </c>
      <c r="T969" s="433">
        <f t="shared" si="116"/>
        <v>604.16666666666663</v>
      </c>
      <c r="U969" s="432">
        <v>17384</v>
      </c>
      <c r="X969" s="435">
        <f t="shared" si="118"/>
        <v>20</v>
      </c>
    </row>
    <row r="970" spans="1:24" s="431" customFormat="1">
      <c r="A970" s="426"/>
      <c r="B970" s="426" t="s">
        <v>2666</v>
      </c>
      <c r="C970" s="426"/>
      <c r="D970" s="426"/>
      <c r="E970" s="426"/>
      <c r="F970" s="426" t="s">
        <v>928</v>
      </c>
      <c r="G970" s="427">
        <v>41122</v>
      </c>
      <c r="H970" s="428">
        <v>1</v>
      </c>
      <c r="I970" s="428">
        <v>8</v>
      </c>
      <c r="J970" s="429">
        <v>2012</v>
      </c>
      <c r="K970" s="430" t="s">
        <v>30</v>
      </c>
      <c r="L970" s="430" t="s">
        <v>2665</v>
      </c>
      <c r="M970" s="430" t="s">
        <v>869</v>
      </c>
      <c r="N970" s="184">
        <v>725</v>
      </c>
      <c r="O970" s="184"/>
      <c r="Q970" s="432">
        <v>10</v>
      </c>
      <c r="R970" s="433">
        <f t="shared" si="117"/>
        <v>6.041666666666667</v>
      </c>
      <c r="S970" s="434">
        <f t="shared" si="115"/>
        <v>120.83333333333334</v>
      </c>
      <c r="T970" s="433">
        <f t="shared" si="116"/>
        <v>604.16666666666663</v>
      </c>
      <c r="U970" s="432">
        <v>17384</v>
      </c>
      <c r="X970" s="435">
        <f t="shared" si="118"/>
        <v>20</v>
      </c>
    </row>
    <row r="971" spans="1:24" s="431" customFormat="1">
      <c r="A971" s="426"/>
      <c r="B971" s="426" t="s">
        <v>2666</v>
      </c>
      <c r="C971" s="426"/>
      <c r="D971" s="426"/>
      <c r="E971" s="426"/>
      <c r="F971" s="426" t="s">
        <v>928</v>
      </c>
      <c r="G971" s="427">
        <v>41122</v>
      </c>
      <c r="H971" s="428">
        <v>1</v>
      </c>
      <c r="I971" s="428">
        <v>8</v>
      </c>
      <c r="J971" s="429">
        <v>2012</v>
      </c>
      <c r="K971" s="430" t="s">
        <v>30</v>
      </c>
      <c r="L971" s="430" t="s">
        <v>2665</v>
      </c>
      <c r="M971" s="430" t="s">
        <v>869</v>
      </c>
      <c r="N971" s="184">
        <v>725</v>
      </c>
      <c r="O971" s="184"/>
      <c r="Q971" s="432">
        <v>10</v>
      </c>
      <c r="R971" s="433">
        <f t="shared" si="117"/>
        <v>6.041666666666667</v>
      </c>
      <c r="S971" s="434">
        <f t="shared" si="115"/>
        <v>120.83333333333334</v>
      </c>
      <c r="T971" s="433">
        <f t="shared" si="116"/>
        <v>604.16666666666663</v>
      </c>
      <c r="U971" s="432">
        <v>17384</v>
      </c>
      <c r="X971" s="435">
        <f t="shared" si="118"/>
        <v>20</v>
      </c>
    </row>
    <row r="972" spans="1:24" s="431" customFormat="1">
      <c r="A972" s="426"/>
      <c r="B972" s="426" t="s">
        <v>2666</v>
      </c>
      <c r="C972" s="426"/>
      <c r="D972" s="426"/>
      <c r="E972" s="426"/>
      <c r="F972" s="426" t="s">
        <v>928</v>
      </c>
      <c r="G972" s="427">
        <v>41122</v>
      </c>
      <c r="H972" s="428">
        <v>1</v>
      </c>
      <c r="I972" s="428">
        <v>8</v>
      </c>
      <c r="J972" s="429">
        <v>2012</v>
      </c>
      <c r="K972" s="430" t="s">
        <v>30</v>
      </c>
      <c r="L972" s="430" t="s">
        <v>2665</v>
      </c>
      <c r="M972" s="430" t="s">
        <v>869</v>
      </c>
      <c r="N972" s="184">
        <v>725</v>
      </c>
      <c r="O972" s="184"/>
      <c r="Q972" s="432">
        <v>10</v>
      </c>
      <c r="R972" s="433">
        <f t="shared" si="117"/>
        <v>6.041666666666667</v>
      </c>
      <c r="S972" s="434">
        <f t="shared" si="115"/>
        <v>120.83333333333334</v>
      </c>
      <c r="T972" s="433">
        <f t="shared" si="116"/>
        <v>604.16666666666663</v>
      </c>
      <c r="U972" s="432">
        <v>17384</v>
      </c>
      <c r="X972" s="435">
        <f t="shared" si="118"/>
        <v>20</v>
      </c>
    </row>
    <row r="973" spans="1:24" s="431" customFormat="1">
      <c r="A973" s="426"/>
      <c r="B973" s="426" t="s">
        <v>2666</v>
      </c>
      <c r="C973" s="426"/>
      <c r="D973" s="426"/>
      <c r="E973" s="426"/>
      <c r="F973" s="426" t="s">
        <v>928</v>
      </c>
      <c r="G973" s="427">
        <v>41122</v>
      </c>
      <c r="H973" s="428">
        <v>1</v>
      </c>
      <c r="I973" s="428">
        <v>8</v>
      </c>
      <c r="J973" s="429">
        <v>2012</v>
      </c>
      <c r="K973" s="430" t="s">
        <v>30</v>
      </c>
      <c r="L973" s="430" t="s">
        <v>2665</v>
      </c>
      <c r="M973" s="430" t="s">
        <v>869</v>
      </c>
      <c r="N973" s="184">
        <v>725</v>
      </c>
      <c r="O973" s="184"/>
      <c r="Q973" s="432">
        <v>10</v>
      </c>
      <c r="R973" s="433">
        <f t="shared" si="117"/>
        <v>6.041666666666667</v>
      </c>
      <c r="S973" s="434">
        <f t="shared" si="115"/>
        <v>120.83333333333334</v>
      </c>
      <c r="T973" s="433">
        <f t="shared" si="116"/>
        <v>604.16666666666663</v>
      </c>
      <c r="U973" s="432">
        <v>17384</v>
      </c>
      <c r="X973" s="435">
        <f t="shared" si="118"/>
        <v>20</v>
      </c>
    </row>
    <row r="974" spans="1:24" s="431" customFormat="1">
      <c r="A974" s="426"/>
      <c r="B974" s="426" t="s">
        <v>2666</v>
      </c>
      <c r="C974" s="426"/>
      <c r="D974" s="426"/>
      <c r="E974" s="426"/>
      <c r="F974" s="426" t="s">
        <v>928</v>
      </c>
      <c r="G974" s="427">
        <v>41122</v>
      </c>
      <c r="H974" s="428">
        <v>1</v>
      </c>
      <c r="I974" s="428">
        <v>8</v>
      </c>
      <c r="J974" s="429">
        <v>2012</v>
      </c>
      <c r="K974" s="430" t="s">
        <v>30</v>
      </c>
      <c r="L974" s="430" t="s">
        <v>2665</v>
      </c>
      <c r="M974" s="430" t="s">
        <v>869</v>
      </c>
      <c r="N974" s="184">
        <v>725</v>
      </c>
      <c r="O974" s="184"/>
      <c r="Q974" s="432">
        <v>10</v>
      </c>
      <c r="R974" s="433">
        <f t="shared" si="117"/>
        <v>6.041666666666667</v>
      </c>
      <c r="S974" s="434">
        <f t="shared" si="115"/>
        <v>120.83333333333334</v>
      </c>
      <c r="T974" s="433">
        <f t="shared" si="116"/>
        <v>604.16666666666663</v>
      </c>
      <c r="U974" s="432">
        <v>17384</v>
      </c>
      <c r="X974" s="435">
        <f t="shared" si="118"/>
        <v>20</v>
      </c>
    </row>
    <row r="975" spans="1:24" s="431" customFormat="1">
      <c r="A975" s="426"/>
      <c r="B975" s="426" t="s">
        <v>2666</v>
      </c>
      <c r="C975" s="426"/>
      <c r="D975" s="426"/>
      <c r="E975" s="426"/>
      <c r="F975" s="426" t="s">
        <v>928</v>
      </c>
      <c r="G975" s="427">
        <v>41122</v>
      </c>
      <c r="H975" s="428">
        <v>1</v>
      </c>
      <c r="I975" s="428">
        <v>8</v>
      </c>
      <c r="J975" s="429">
        <v>2012</v>
      </c>
      <c r="K975" s="430" t="s">
        <v>30</v>
      </c>
      <c r="L975" s="430" t="s">
        <v>2665</v>
      </c>
      <c r="M975" s="430" t="s">
        <v>869</v>
      </c>
      <c r="N975" s="184">
        <v>725</v>
      </c>
      <c r="O975" s="184"/>
      <c r="Q975" s="432">
        <v>10</v>
      </c>
      <c r="R975" s="433">
        <f t="shared" si="117"/>
        <v>6.041666666666667</v>
      </c>
      <c r="S975" s="434">
        <f t="shared" si="115"/>
        <v>120.83333333333334</v>
      </c>
      <c r="T975" s="433">
        <f t="shared" si="116"/>
        <v>604.16666666666663</v>
      </c>
      <c r="U975" s="432">
        <v>17384</v>
      </c>
      <c r="X975" s="435">
        <f t="shared" si="118"/>
        <v>20</v>
      </c>
    </row>
    <row r="976" spans="1:24" s="431" customFormat="1">
      <c r="A976" s="426"/>
      <c r="B976" s="426" t="s">
        <v>2666</v>
      </c>
      <c r="C976" s="426"/>
      <c r="D976" s="426"/>
      <c r="E976" s="426"/>
      <c r="F976" s="426" t="s">
        <v>928</v>
      </c>
      <c r="G976" s="427">
        <v>41122</v>
      </c>
      <c r="H976" s="428">
        <v>1</v>
      </c>
      <c r="I976" s="428">
        <v>8</v>
      </c>
      <c r="J976" s="429">
        <v>2012</v>
      </c>
      <c r="K976" s="430" t="s">
        <v>30</v>
      </c>
      <c r="L976" s="430" t="s">
        <v>2665</v>
      </c>
      <c r="M976" s="430" t="s">
        <v>869</v>
      </c>
      <c r="N976" s="184">
        <v>725</v>
      </c>
      <c r="O976" s="184"/>
      <c r="Q976" s="432">
        <v>10</v>
      </c>
      <c r="R976" s="433">
        <f t="shared" si="117"/>
        <v>6.041666666666667</v>
      </c>
      <c r="S976" s="434">
        <f t="shared" si="115"/>
        <v>120.83333333333334</v>
      </c>
      <c r="T976" s="433">
        <f t="shared" si="116"/>
        <v>604.16666666666663</v>
      </c>
      <c r="U976" s="432">
        <v>17384</v>
      </c>
      <c r="X976" s="435">
        <f t="shared" si="118"/>
        <v>20</v>
      </c>
    </row>
    <row r="977" spans="1:24" s="431" customFormat="1">
      <c r="A977" s="426"/>
      <c r="B977" s="426" t="s">
        <v>2666</v>
      </c>
      <c r="C977" s="426"/>
      <c r="D977" s="426"/>
      <c r="E977" s="426"/>
      <c r="F977" s="426" t="s">
        <v>928</v>
      </c>
      <c r="G977" s="427">
        <v>41122</v>
      </c>
      <c r="H977" s="428">
        <v>1</v>
      </c>
      <c r="I977" s="428">
        <v>8</v>
      </c>
      <c r="J977" s="429">
        <v>2012</v>
      </c>
      <c r="K977" s="430" t="s">
        <v>30</v>
      </c>
      <c r="L977" s="430" t="s">
        <v>2665</v>
      </c>
      <c r="M977" s="430" t="s">
        <v>869</v>
      </c>
      <c r="N977" s="184">
        <v>725</v>
      </c>
      <c r="O977" s="184"/>
      <c r="Q977" s="432">
        <v>10</v>
      </c>
      <c r="R977" s="433">
        <f t="shared" si="117"/>
        <v>6.041666666666667</v>
      </c>
      <c r="S977" s="434">
        <f t="shared" si="115"/>
        <v>120.83333333333334</v>
      </c>
      <c r="T977" s="433">
        <f t="shared" si="116"/>
        <v>604.16666666666663</v>
      </c>
      <c r="U977" s="432">
        <v>17384</v>
      </c>
      <c r="X977" s="435">
        <f t="shared" si="118"/>
        <v>20</v>
      </c>
    </row>
    <row r="978" spans="1:24" s="431" customFormat="1">
      <c r="A978" s="426"/>
      <c r="B978" s="426" t="s">
        <v>2666</v>
      </c>
      <c r="C978" s="426"/>
      <c r="D978" s="426"/>
      <c r="E978" s="426"/>
      <c r="F978" s="426" t="s">
        <v>928</v>
      </c>
      <c r="G978" s="427">
        <v>41122</v>
      </c>
      <c r="H978" s="428">
        <v>1</v>
      </c>
      <c r="I978" s="428">
        <v>8</v>
      </c>
      <c r="J978" s="429">
        <v>2012</v>
      </c>
      <c r="K978" s="430" t="s">
        <v>30</v>
      </c>
      <c r="L978" s="430" t="s">
        <v>2665</v>
      </c>
      <c r="M978" s="430" t="s">
        <v>869</v>
      </c>
      <c r="N978" s="184">
        <v>725</v>
      </c>
      <c r="O978" s="184"/>
      <c r="Q978" s="432">
        <v>10</v>
      </c>
      <c r="R978" s="433">
        <f t="shared" si="117"/>
        <v>6.041666666666667</v>
      </c>
      <c r="S978" s="434">
        <f t="shared" si="115"/>
        <v>120.83333333333334</v>
      </c>
      <c r="T978" s="433">
        <f t="shared" si="116"/>
        <v>604.16666666666663</v>
      </c>
      <c r="U978" s="432">
        <v>17384</v>
      </c>
      <c r="X978" s="435">
        <f t="shared" si="118"/>
        <v>20</v>
      </c>
    </row>
    <row r="979" spans="1:24" s="431" customFormat="1">
      <c r="A979" s="426"/>
      <c r="B979" s="426" t="s">
        <v>2666</v>
      </c>
      <c r="C979" s="426"/>
      <c r="D979" s="426"/>
      <c r="E979" s="426"/>
      <c r="F979" s="426" t="s">
        <v>928</v>
      </c>
      <c r="G979" s="427">
        <v>41122</v>
      </c>
      <c r="H979" s="428">
        <v>1</v>
      </c>
      <c r="I979" s="428">
        <v>8</v>
      </c>
      <c r="J979" s="429">
        <v>2012</v>
      </c>
      <c r="K979" s="430" t="s">
        <v>30</v>
      </c>
      <c r="L979" s="430" t="s">
        <v>2665</v>
      </c>
      <c r="M979" s="430" t="s">
        <v>869</v>
      </c>
      <c r="N979" s="184">
        <v>725</v>
      </c>
      <c r="O979" s="184"/>
      <c r="Q979" s="432">
        <v>10</v>
      </c>
      <c r="R979" s="433">
        <f t="shared" si="117"/>
        <v>6.041666666666667</v>
      </c>
      <c r="S979" s="434">
        <f t="shared" si="115"/>
        <v>120.83333333333334</v>
      </c>
      <c r="T979" s="433">
        <f t="shared" si="116"/>
        <v>604.16666666666663</v>
      </c>
      <c r="U979" s="432">
        <v>17384</v>
      </c>
      <c r="X979" s="435">
        <f t="shared" si="118"/>
        <v>20</v>
      </c>
    </row>
    <row r="980" spans="1:24" s="431" customFormat="1">
      <c r="A980" s="426"/>
      <c r="B980" s="426" t="s">
        <v>2666</v>
      </c>
      <c r="C980" s="426"/>
      <c r="D980" s="426"/>
      <c r="E980" s="426"/>
      <c r="F980" s="426" t="s">
        <v>928</v>
      </c>
      <c r="G980" s="427">
        <v>41122</v>
      </c>
      <c r="H980" s="428">
        <v>1</v>
      </c>
      <c r="I980" s="428">
        <v>8</v>
      </c>
      <c r="J980" s="429">
        <v>2012</v>
      </c>
      <c r="K980" s="430" t="s">
        <v>30</v>
      </c>
      <c r="L980" s="430" t="s">
        <v>2665</v>
      </c>
      <c r="M980" s="430" t="s">
        <v>869</v>
      </c>
      <c r="N980" s="184">
        <v>725</v>
      </c>
      <c r="O980" s="184"/>
      <c r="Q980" s="432">
        <v>10</v>
      </c>
      <c r="R980" s="433">
        <f t="shared" si="117"/>
        <v>6.041666666666667</v>
      </c>
      <c r="S980" s="434">
        <f t="shared" si="115"/>
        <v>120.83333333333334</v>
      </c>
      <c r="T980" s="433">
        <f t="shared" si="116"/>
        <v>604.16666666666663</v>
      </c>
      <c r="U980" s="432">
        <v>17384</v>
      </c>
      <c r="X980" s="435">
        <f t="shared" si="118"/>
        <v>20</v>
      </c>
    </row>
    <row r="981" spans="1:24" s="431" customFormat="1">
      <c r="A981" s="426"/>
      <c r="B981" s="426" t="s">
        <v>2666</v>
      </c>
      <c r="C981" s="426"/>
      <c r="D981" s="426"/>
      <c r="E981" s="426"/>
      <c r="F981" s="426" t="s">
        <v>928</v>
      </c>
      <c r="G981" s="427">
        <v>41122</v>
      </c>
      <c r="H981" s="428">
        <v>1</v>
      </c>
      <c r="I981" s="428">
        <v>8</v>
      </c>
      <c r="J981" s="429">
        <v>2012</v>
      </c>
      <c r="K981" s="430" t="s">
        <v>30</v>
      </c>
      <c r="L981" s="430" t="s">
        <v>2665</v>
      </c>
      <c r="M981" s="430" t="s">
        <v>869</v>
      </c>
      <c r="N981" s="184">
        <v>725</v>
      </c>
      <c r="O981" s="184"/>
      <c r="Q981" s="432">
        <v>10</v>
      </c>
      <c r="R981" s="433">
        <f t="shared" si="117"/>
        <v>6.041666666666667</v>
      </c>
      <c r="S981" s="434">
        <f t="shared" si="115"/>
        <v>120.83333333333334</v>
      </c>
      <c r="T981" s="433">
        <f t="shared" si="116"/>
        <v>604.16666666666663</v>
      </c>
      <c r="U981" s="432">
        <v>17384</v>
      </c>
      <c r="X981" s="435">
        <f t="shared" si="118"/>
        <v>20</v>
      </c>
    </row>
    <row r="982" spans="1:24" s="431" customFormat="1">
      <c r="A982" s="426"/>
      <c r="B982" s="426" t="s">
        <v>2666</v>
      </c>
      <c r="C982" s="426"/>
      <c r="D982" s="426"/>
      <c r="E982" s="426"/>
      <c r="F982" s="426" t="s">
        <v>928</v>
      </c>
      <c r="G982" s="427">
        <v>41122</v>
      </c>
      <c r="H982" s="428">
        <v>1</v>
      </c>
      <c r="I982" s="428">
        <v>8</v>
      </c>
      <c r="J982" s="429">
        <v>2012</v>
      </c>
      <c r="K982" s="430" t="s">
        <v>30</v>
      </c>
      <c r="L982" s="430" t="s">
        <v>2665</v>
      </c>
      <c r="M982" s="430" t="s">
        <v>869</v>
      </c>
      <c r="N982" s="184">
        <v>725</v>
      </c>
      <c r="O982" s="184"/>
      <c r="Q982" s="432">
        <v>10</v>
      </c>
      <c r="R982" s="433">
        <f t="shared" si="117"/>
        <v>6.041666666666667</v>
      </c>
      <c r="S982" s="434">
        <f t="shared" si="115"/>
        <v>120.83333333333334</v>
      </c>
      <c r="T982" s="433">
        <f t="shared" si="116"/>
        <v>604.16666666666663</v>
      </c>
      <c r="U982" s="432">
        <v>17384</v>
      </c>
      <c r="X982" s="435">
        <f t="shared" si="118"/>
        <v>20</v>
      </c>
    </row>
    <row r="983" spans="1:24" s="431" customFormat="1">
      <c r="A983" s="426"/>
      <c r="B983" s="426" t="s">
        <v>2666</v>
      </c>
      <c r="C983" s="426"/>
      <c r="D983" s="426"/>
      <c r="E983" s="426"/>
      <c r="F983" s="426" t="s">
        <v>928</v>
      </c>
      <c r="G983" s="427">
        <v>41122</v>
      </c>
      <c r="H983" s="428">
        <v>1</v>
      </c>
      <c r="I983" s="428">
        <v>8</v>
      </c>
      <c r="J983" s="429">
        <v>2012</v>
      </c>
      <c r="K983" s="430" t="s">
        <v>30</v>
      </c>
      <c r="L983" s="430" t="s">
        <v>2665</v>
      </c>
      <c r="M983" s="430" t="s">
        <v>869</v>
      </c>
      <c r="N983" s="184">
        <v>725</v>
      </c>
      <c r="O983" s="184"/>
      <c r="Q983" s="432">
        <v>10</v>
      </c>
      <c r="R983" s="433">
        <f t="shared" si="117"/>
        <v>6.041666666666667</v>
      </c>
      <c r="S983" s="434">
        <f t="shared" si="115"/>
        <v>120.83333333333334</v>
      </c>
      <c r="T983" s="433">
        <f t="shared" si="116"/>
        <v>604.16666666666663</v>
      </c>
      <c r="U983" s="432">
        <v>17384</v>
      </c>
      <c r="X983" s="435">
        <f t="shared" si="118"/>
        <v>20</v>
      </c>
    </row>
    <row r="984" spans="1:24" s="431" customFormat="1">
      <c r="A984" s="426"/>
      <c r="B984" s="426" t="s">
        <v>2666</v>
      </c>
      <c r="C984" s="426"/>
      <c r="D984" s="426"/>
      <c r="E984" s="426"/>
      <c r="F984" s="426" t="s">
        <v>928</v>
      </c>
      <c r="G984" s="427">
        <v>41122</v>
      </c>
      <c r="H984" s="428">
        <v>1</v>
      </c>
      <c r="I984" s="428">
        <v>8</v>
      </c>
      <c r="J984" s="429">
        <v>2012</v>
      </c>
      <c r="K984" s="430" t="s">
        <v>30</v>
      </c>
      <c r="L984" s="430" t="s">
        <v>2665</v>
      </c>
      <c r="M984" s="430" t="s">
        <v>869</v>
      </c>
      <c r="N984" s="184">
        <v>725</v>
      </c>
      <c r="O984" s="184"/>
      <c r="Q984" s="432">
        <v>10</v>
      </c>
      <c r="R984" s="433">
        <f t="shared" si="117"/>
        <v>6.041666666666667</v>
      </c>
      <c r="S984" s="434">
        <f t="shared" si="115"/>
        <v>120.83333333333334</v>
      </c>
      <c r="T984" s="433">
        <f t="shared" si="116"/>
        <v>604.16666666666663</v>
      </c>
      <c r="U984" s="432">
        <v>17384</v>
      </c>
      <c r="X984" s="435">
        <f t="shared" si="118"/>
        <v>20</v>
      </c>
    </row>
    <row r="985" spans="1:24" s="431" customFormat="1">
      <c r="A985" s="426"/>
      <c r="B985" s="426" t="s">
        <v>2666</v>
      </c>
      <c r="C985" s="426"/>
      <c r="D985" s="426"/>
      <c r="E985" s="426"/>
      <c r="F985" s="426" t="s">
        <v>928</v>
      </c>
      <c r="G985" s="427">
        <v>41122</v>
      </c>
      <c r="H985" s="428">
        <v>1</v>
      </c>
      <c r="I985" s="428">
        <v>8</v>
      </c>
      <c r="J985" s="429">
        <v>2012</v>
      </c>
      <c r="K985" s="430" t="s">
        <v>30</v>
      </c>
      <c r="L985" s="430" t="s">
        <v>2665</v>
      </c>
      <c r="M985" s="430" t="s">
        <v>869</v>
      </c>
      <c r="N985" s="184">
        <v>725</v>
      </c>
      <c r="O985" s="184"/>
      <c r="Q985" s="432">
        <v>10</v>
      </c>
      <c r="R985" s="433">
        <f t="shared" si="117"/>
        <v>6.041666666666667</v>
      </c>
      <c r="S985" s="434">
        <f t="shared" si="115"/>
        <v>120.83333333333334</v>
      </c>
      <c r="T985" s="433">
        <f t="shared" si="116"/>
        <v>604.16666666666663</v>
      </c>
      <c r="U985" s="432">
        <v>17384</v>
      </c>
      <c r="X985" s="435">
        <f t="shared" si="118"/>
        <v>20</v>
      </c>
    </row>
    <row r="986" spans="1:24" s="431" customFormat="1">
      <c r="A986" s="426"/>
      <c r="B986" s="426"/>
      <c r="C986" s="426"/>
      <c r="D986" s="426"/>
      <c r="E986" s="426"/>
      <c r="F986" s="426"/>
      <c r="N986" s="419">
        <f>SUM(N893:P985)</f>
        <v>276302.75546400016</v>
      </c>
      <c r="O986" s="299">
        <f t="shared" ref="O986:P986" si="119">SUM(O893:O944)</f>
        <v>0</v>
      </c>
      <c r="P986" s="299">
        <f t="shared" si="119"/>
        <v>0</v>
      </c>
      <c r="Q986" s="436"/>
      <c r="R986" s="421">
        <f>SUM(R893:R985)</f>
        <v>2302.5229621999961</v>
      </c>
      <c r="S986" s="421">
        <f t="shared" ref="S986:T986" si="120">SUM(S893:S985)</f>
        <v>46050.459244000056</v>
      </c>
      <c r="T986" s="421">
        <f t="shared" si="120"/>
        <v>230252.29621999981</v>
      </c>
      <c r="X986" s="435"/>
    </row>
    <row r="987" spans="1:24" s="431" customFormat="1">
      <c r="A987" s="426"/>
      <c r="B987" s="426"/>
      <c r="C987" s="426"/>
      <c r="D987" s="426"/>
      <c r="E987" s="426"/>
      <c r="F987" s="426"/>
      <c r="N987" s="230"/>
      <c r="O987" s="184"/>
      <c r="P987" s="184"/>
      <c r="Q987" s="432"/>
      <c r="R987" s="433"/>
      <c r="S987" s="433"/>
      <c r="T987" s="433"/>
      <c r="X987" s="435"/>
    </row>
    <row r="988" spans="1:24" s="431" customFormat="1">
      <c r="A988" s="426"/>
      <c r="B988" s="426" t="s">
        <v>2667</v>
      </c>
      <c r="C988" s="426"/>
      <c r="D988" s="426" t="s">
        <v>2668</v>
      </c>
      <c r="E988" s="426"/>
      <c r="F988" s="426" t="s">
        <v>962</v>
      </c>
      <c r="G988" s="427">
        <v>41180</v>
      </c>
      <c r="H988" s="428">
        <v>28</v>
      </c>
      <c r="I988" s="428">
        <v>9</v>
      </c>
      <c r="J988" s="429">
        <v>2012</v>
      </c>
      <c r="K988" s="430" t="s">
        <v>30</v>
      </c>
      <c r="L988" s="430" t="s">
        <v>2669</v>
      </c>
      <c r="M988" s="430" t="s">
        <v>869</v>
      </c>
      <c r="N988" s="184">
        <v>18071.64</v>
      </c>
      <c r="O988" s="184"/>
      <c r="Q988" s="432">
        <v>10</v>
      </c>
      <c r="R988" s="223">
        <f t="shared" ref="R988" si="121">(N988/Q988)/12</f>
        <v>150.59700000000001</v>
      </c>
      <c r="S988" s="434">
        <f t="shared" ref="S988" si="122">X988*R988</f>
        <v>2861.3430000000003</v>
      </c>
      <c r="T988" s="433">
        <f t="shared" ref="T988" si="123">N988-S988</f>
        <v>15210.296999999999</v>
      </c>
      <c r="U988" s="432">
        <v>17419</v>
      </c>
      <c r="X988" s="435">
        <f t="shared" ref="X988" si="124">IF((DATEDIF(G988,X$4,"m"))&gt;=120,120,(DATEDIF(G988,X$4,"m")))</f>
        <v>19</v>
      </c>
    </row>
    <row r="989" spans="1:24">
      <c r="G989" s="182"/>
      <c r="H989" s="182"/>
      <c r="I989" s="182"/>
      <c r="J989" s="182"/>
      <c r="K989" s="182"/>
      <c r="L989" s="182"/>
      <c r="M989" s="182"/>
      <c r="X989" s="196"/>
    </row>
    <row r="990" spans="1:24">
      <c r="B990" s="226" t="s">
        <v>2671</v>
      </c>
      <c r="D990" s="185">
        <v>2000</v>
      </c>
      <c r="F990" s="205" t="s">
        <v>874</v>
      </c>
      <c r="G990" s="220">
        <v>41190</v>
      </c>
      <c r="H990" s="187">
        <v>8</v>
      </c>
      <c r="I990" s="187">
        <v>10</v>
      </c>
      <c r="J990" s="186">
        <v>2012</v>
      </c>
      <c r="K990" s="226" t="s">
        <v>30</v>
      </c>
      <c r="L990" s="226" t="s">
        <v>2672</v>
      </c>
      <c r="M990" s="226" t="s">
        <v>869</v>
      </c>
      <c r="N990" s="168">
        <v>9072.7099999999991</v>
      </c>
      <c r="O990" s="243" t="s">
        <v>1530</v>
      </c>
      <c r="P990" s="221"/>
      <c r="Q990" s="221">
        <v>10</v>
      </c>
      <c r="R990" s="223">
        <f t="shared" ref="R990" si="125">(N990/Q990)/12</f>
        <v>75.605916666666658</v>
      </c>
      <c r="S990" s="198">
        <f>X990*R990</f>
        <v>1360.9064999999998</v>
      </c>
      <c r="T990" s="223">
        <f t="shared" ref="T990" si="126">N990-S990</f>
        <v>7711.8034999999991</v>
      </c>
      <c r="U990" s="221">
        <v>17577</v>
      </c>
      <c r="V990" s="233"/>
      <c r="W990" s="222"/>
      <c r="X990" s="196">
        <f t="shared" ref="X990" si="127">IF((DATEDIF(G990,X$4,"m"))&gt;=120,120,(DATEDIF(G990,X$4,"m")))</f>
        <v>18</v>
      </c>
    </row>
    <row r="992" spans="1:24" ht="16.5" thickBot="1">
      <c r="N992" s="300">
        <f>+N871+N876+N891+N986+N988+N990</f>
        <v>8420899.045464009</v>
      </c>
      <c r="O992" s="299"/>
      <c r="P992" s="288"/>
      <c r="Q992" s="288"/>
      <c r="R992" s="300">
        <f>+R871+R876+R891+R986+R988+R990</f>
        <v>79182.843712200105</v>
      </c>
      <c r="S992" s="300">
        <f>+S871+S876+S891+S986+S988+S990</f>
        <v>5621030.641493991</v>
      </c>
      <c r="T992" s="300">
        <f>+T871+T876+T891+T986+T988+T990</f>
        <v>2799868.4039699975</v>
      </c>
    </row>
    <row r="993" spans="1:25" ht="16.5" thickTop="1"/>
    <row r="994" spans="1:25" s="221" customFormat="1">
      <c r="A994" s="226"/>
      <c r="B994" s="226" t="s">
        <v>2676</v>
      </c>
      <c r="C994" s="226"/>
      <c r="D994" s="226"/>
      <c r="E994" s="226"/>
      <c r="F994" s="426" t="s">
        <v>928</v>
      </c>
      <c r="G994" s="220">
        <v>41304</v>
      </c>
      <c r="H994" s="242">
        <v>30</v>
      </c>
      <c r="I994" s="242">
        <v>1</v>
      </c>
      <c r="J994" s="225">
        <v>2013</v>
      </c>
      <c r="K994" s="226" t="s">
        <v>30</v>
      </c>
      <c r="L994" s="226" t="s">
        <v>2677</v>
      </c>
      <c r="M994" s="226" t="s">
        <v>869</v>
      </c>
      <c r="N994" s="168">
        <v>7850</v>
      </c>
      <c r="O994" s="243" t="s">
        <v>1530</v>
      </c>
      <c r="Q994" s="221">
        <v>10</v>
      </c>
      <c r="R994" s="223">
        <f t="shared" ref="R994" si="128">(N994/Q994)/12</f>
        <v>65.416666666666671</v>
      </c>
      <c r="S994" s="198">
        <f>X994*R994</f>
        <v>981.25000000000011</v>
      </c>
      <c r="T994" s="223">
        <f>N994-S994</f>
        <v>6868.75</v>
      </c>
      <c r="U994" s="221">
        <v>17876</v>
      </c>
      <c r="V994" s="233"/>
      <c r="W994" s="222"/>
      <c r="X994" s="196">
        <f>IF((DATEDIF(G994,X$4,"m"))&gt;=120,120,(DATEDIF(G994,X$4,"m")))</f>
        <v>15</v>
      </c>
    </row>
    <row r="995" spans="1:25" s="221" customFormat="1">
      <c r="A995" s="226"/>
      <c r="B995" s="226" t="s">
        <v>2676</v>
      </c>
      <c r="C995" s="226"/>
      <c r="D995" s="226"/>
      <c r="E995" s="226"/>
      <c r="F995" s="426" t="s">
        <v>928</v>
      </c>
      <c r="G995" s="220">
        <v>41304</v>
      </c>
      <c r="H995" s="242">
        <v>30</v>
      </c>
      <c r="I995" s="242">
        <v>1</v>
      </c>
      <c r="J995" s="225">
        <v>2013</v>
      </c>
      <c r="K995" s="226" t="s">
        <v>30</v>
      </c>
      <c r="L995" s="226" t="s">
        <v>2677</v>
      </c>
      <c r="M995" s="226" t="s">
        <v>869</v>
      </c>
      <c r="N995" s="168">
        <v>7850</v>
      </c>
      <c r="O995" s="243" t="s">
        <v>1530</v>
      </c>
      <c r="Q995" s="221">
        <v>10</v>
      </c>
      <c r="R995" s="223">
        <f t="shared" ref="R995" si="129">(N995/Q995)/12</f>
        <v>65.416666666666671</v>
      </c>
      <c r="S995" s="198">
        <f>X995*R995</f>
        <v>981.25000000000011</v>
      </c>
      <c r="T995" s="223">
        <f>N995-S995</f>
        <v>6868.75</v>
      </c>
      <c r="U995" s="221">
        <v>17876</v>
      </c>
      <c r="V995" s="233"/>
      <c r="W995" s="222"/>
      <c r="X995" s="196">
        <f>IF((DATEDIF(G995,X$4,"m"))&gt;=120,120,(DATEDIF(G995,X$4,"m")))</f>
        <v>15</v>
      </c>
    </row>
    <row r="996" spans="1:25" s="221" customFormat="1">
      <c r="A996" s="226"/>
      <c r="B996" s="226"/>
      <c r="C996" s="226"/>
      <c r="D996" s="226"/>
      <c r="E996" s="226"/>
      <c r="F996" s="226"/>
      <c r="G996" s="220"/>
      <c r="H996" s="242"/>
      <c r="I996" s="242"/>
      <c r="J996" s="225"/>
      <c r="K996" s="226"/>
      <c r="L996" s="226"/>
      <c r="M996" s="226"/>
      <c r="N996" s="419">
        <f>SUM(N993:N995)</f>
        <v>15700</v>
      </c>
      <c r="O996" s="299"/>
      <c r="P996" s="420"/>
      <c r="Q996" s="420"/>
      <c r="R996" s="421">
        <f>SUM(R993:R995)</f>
        <v>130.83333333333334</v>
      </c>
      <c r="S996" s="421">
        <f>SUM(S993:S995)</f>
        <v>1962.5000000000002</v>
      </c>
      <c r="T996" s="421">
        <f>SUM(T993:T995)</f>
        <v>13737.5</v>
      </c>
      <c r="V996" s="233"/>
      <c r="W996" s="222"/>
      <c r="X996" s="196"/>
    </row>
    <row r="998" spans="1:25" s="221" customFormat="1">
      <c r="A998" s="226"/>
      <c r="B998" s="226" t="s">
        <v>2678</v>
      </c>
      <c r="C998" s="226" t="s">
        <v>2679</v>
      </c>
      <c r="D998" s="226" t="s">
        <v>2680</v>
      </c>
      <c r="E998" s="226"/>
      <c r="F998" s="226" t="s">
        <v>1452</v>
      </c>
      <c r="G998" s="220">
        <v>41309</v>
      </c>
      <c r="H998" s="242">
        <v>4</v>
      </c>
      <c r="I998" s="242">
        <v>2</v>
      </c>
      <c r="J998" s="225">
        <v>2013</v>
      </c>
      <c r="K998" s="226" t="s">
        <v>30</v>
      </c>
      <c r="L998" s="226" t="s">
        <v>2681</v>
      </c>
      <c r="M998" s="226" t="s">
        <v>869</v>
      </c>
      <c r="N998" s="168">
        <v>23417.1</v>
      </c>
      <c r="O998" s="243" t="s">
        <v>1530</v>
      </c>
      <c r="Q998" s="221">
        <v>10</v>
      </c>
      <c r="R998" s="223">
        <f t="shared" ref="R998" si="130">(N998/Q998)/12</f>
        <v>195.14250000000001</v>
      </c>
      <c r="S998" s="198">
        <f>X998*R998</f>
        <v>2731.9950000000003</v>
      </c>
      <c r="T998" s="223">
        <f>N998-S998</f>
        <v>20685.105</v>
      </c>
      <c r="U998" s="221">
        <v>17890</v>
      </c>
      <c r="V998" s="233"/>
      <c r="W998" s="222"/>
      <c r="X998" s="196">
        <f>IF((DATEDIF(G998,X$4,"m"))&gt;=120,120,(DATEDIF(G998,X$4,"m")))</f>
        <v>14</v>
      </c>
    </row>
    <row r="999" spans="1:25" s="221" customFormat="1">
      <c r="B999" s="221" t="s">
        <v>2682</v>
      </c>
      <c r="C999" s="221" t="s">
        <v>956</v>
      </c>
      <c r="E999" s="226" t="s">
        <v>2683</v>
      </c>
      <c r="F999" s="226" t="s">
        <v>89</v>
      </c>
      <c r="G999" s="220">
        <v>41316</v>
      </c>
      <c r="H999" s="242">
        <v>11</v>
      </c>
      <c r="I999" s="242">
        <v>2</v>
      </c>
      <c r="J999" s="225">
        <v>2013</v>
      </c>
      <c r="K999" s="226" t="s">
        <v>30</v>
      </c>
      <c r="L999" s="226" t="s">
        <v>2684</v>
      </c>
      <c r="M999" s="226" t="s">
        <v>869</v>
      </c>
      <c r="N999" s="168">
        <v>38490</v>
      </c>
      <c r="O999" s="243"/>
      <c r="Q999" s="221">
        <v>10</v>
      </c>
      <c r="R999" s="223">
        <f t="shared" ref="R999" si="131">(((N999)-1)/10)/12</f>
        <v>320.74166666666667</v>
      </c>
      <c r="S999" s="198">
        <f t="shared" ref="S999" si="132">X999*R999</f>
        <v>4490.3833333333332</v>
      </c>
      <c r="T999" s="223">
        <f t="shared" ref="T999" si="133">N999-S999</f>
        <v>33999.616666666669</v>
      </c>
      <c r="U999" s="221">
        <v>18036</v>
      </c>
      <c r="W999" s="223"/>
      <c r="X999" s="196">
        <f t="shared" ref="X999" si="134">IF((DATEDIF(G999,X$4,"m"))&gt;=120,120,(DATEDIF(G999,X$4,"m")))</f>
        <v>14</v>
      </c>
    </row>
    <row r="1000" spans="1:25">
      <c r="N1000" s="419">
        <f>SUM(N998:N999)</f>
        <v>61907.1</v>
      </c>
      <c r="O1000" s="299"/>
      <c r="P1000" s="420"/>
      <c r="Q1000" s="420"/>
      <c r="R1000" s="421">
        <f>SUM(R998:R999)</f>
        <v>515.88416666666672</v>
      </c>
      <c r="S1000" s="421">
        <f>SUM(S998:S999)</f>
        <v>7222.378333333334</v>
      </c>
      <c r="T1000" s="421">
        <f>SUM(T998:T999)</f>
        <v>54684.721666666665</v>
      </c>
    </row>
    <row r="1002" spans="1:25">
      <c r="B1002" s="185" t="s">
        <v>2690</v>
      </c>
      <c r="C1002" s="185" t="s">
        <v>2685</v>
      </c>
      <c r="D1002" s="185" t="s">
        <v>2691</v>
      </c>
      <c r="E1002" s="185" t="s">
        <v>2686</v>
      </c>
      <c r="F1002" s="185" t="s">
        <v>2687</v>
      </c>
      <c r="G1002" s="220">
        <v>41366</v>
      </c>
      <c r="H1002" s="187">
        <v>2</v>
      </c>
      <c r="I1002" s="187">
        <v>4</v>
      </c>
      <c r="J1002" s="186">
        <v>2013</v>
      </c>
      <c r="K1002" s="226" t="s">
        <v>30</v>
      </c>
      <c r="L1002" s="226" t="s">
        <v>2688</v>
      </c>
      <c r="M1002" s="226" t="s">
        <v>869</v>
      </c>
      <c r="N1002" s="168">
        <v>992749.88</v>
      </c>
      <c r="Q1002" s="221">
        <v>10</v>
      </c>
      <c r="R1002" s="223">
        <f t="shared" ref="R1002" si="135">(((N1002)-1)/10)/12</f>
        <v>8272.9073333333345</v>
      </c>
      <c r="S1002" s="198">
        <f t="shared" ref="S1002" si="136">X1002*R1002</f>
        <v>99274.888000000006</v>
      </c>
      <c r="T1002" s="223">
        <f t="shared" ref="T1002" si="137">N1002-S1002</f>
        <v>893474.99199999997</v>
      </c>
      <c r="U1002" s="221">
        <v>18050</v>
      </c>
      <c r="V1002" s="221"/>
      <c r="W1002" s="223"/>
      <c r="X1002" s="196">
        <f t="shared" ref="X1002" si="138">IF((DATEDIF(G1002,X$4,"m"))&gt;=120,120,(DATEDIF(G1002,X$4,"m")))</f>
        <v>12</v>
      </c>
      <c r="Y1002" s="457" t="s">
        <v>2689</v>
      </c>
    </row>
    <row r="1003" spans="1:25">
      <c r="N1003" s="419">
        <f>SUM(N1002)</f>
        <v>992749.88</v>
      </c>
      <c r="Q1003" s="420"/>
      <c r="R1003" s="421">
        <f>SUM(R1001:R1002)</f>
        <v>8272.9073333333345</v>
      </c>
      <c r="S1003" s="421">
        <f>SUM(S1001:S1002)</f>
        <v>99274.888000000006</v>
      </c>
      <c r="T1003" s="421">
        <f>SUM(T1001:T1002)</f>
        <v>893474.99199999997</v>
      </c>
      <c r="X1003" s="196"/>
    </row>
    <row r="1004" spans="1:25">
      <c r="N1004" s="464"/>
      <c r="Q1004" s="420"/>
      <c r="R1004" s="465"/>
      <c r="S1004" s="465"/>
      <c r="T1004" s="465"/>
      <c r="X1004" s="196"/>
    </row>
    <row r="1005" spans="1:25">
      <c r="B1005" s="185" t="s">
        <v>2727</v>
      </c>
      <c r="F1005" s="185" t="s">
        <v>2728</v>
      </c>
      <c r="G1005" s="220">
        <v>41438</v>
      </c>
      <c r="H1005" s="187">
        <v>13</v>
      </c>
      <c r="I1005" s="187">
        <v>6</v>
      </c>
      <c r="J1005" s="186">
        <v>2013</v>
      </c>
      <c r="K1005" s="226" t="s">
        <v>30</v>
      </c>
      <c r="L1005" s="226" t="s">
        <v>2725</v>
      </c>
      <c r="M1005" s="226" t="s">
        <v>869</v>
      </c>
      <c r="N1005" s="168">
        <v>26845</v>
      </c>
      <c r="Q1005" s="221">
        <v>10</v>
      </c>
      <c r="R1005" s="223">
        <f t="shared" ref="R1005:R1006" si="139">(((N1005)-1)/10)/12</f>
        <v>223.70000000000002</v>
      </c>
      <c r="S1005" s="198">
        <f t="shared" ref="S1005:S1006" si="140">X1005*R1005</f>
        <v>2237</v>
      </c>
      <c r="T1005" s="223">
        <f t="shared" ref="T1005:T1006" si="141">N1005-S1005</f>
        <v>24608</v>
      </c>
      <c r="U1005" s="221">
        <v>18257</v>
      </c>
      <c r="V1005" s="221"/>
      <c r="W1005" s="223"/>
      <c r="X1005" s="196">
        <f t="shared" ref="X1005:X1009" si="142">IF((DATEDIF(G1005,X$4,"m"))&gt;=120,120,(DATEDIF(G1005,X$4,"m")))</f>
        <v>10</v>
      </c>
      <c r="Y1005" s="457" t="s">
        <v>2689</v>
      </c>
    </row>
    <row r="1006" spans="1:25">
      <c r="B1006" s="185" t="s">
        <v>2730</v>
      </c>
      <c r="C1006" s="185" t="s">
        <v>2729</v>
      </c>
      <c r="F1006" s="185" t="s">
        <v>2731</v>
      </c>
      <c r="G1006" s="220">
        <v>41443</v>
      </c>
      <c r="H1006" s="187">
        <v>18</v>
      </c>
      <c r="I1006" s="187">
        <v>6</v>
      </c>
      <c r="J1006" s="186">
        <v>2013</v>
      </c>
      <c r="K1006" s="226" t="s">
        <v>30</v>
      </c>
      <c r="L1006" s="226" t="s">
        <v>2726</v>
      </c>
      <c r="M1006" s="226" t="s">
        <v>869</v>
      </c>
      <c r="N1006" s="168">
        <v>196151.4</v>
      </c>
      <c r="Q1006" s="221">
        <v>10</v>
      </c>
      <c r="R1006" s="223">
        <f t="shared" si="139"/>
        <v>1634.5866666666668</v>
      </c>
      <c r="S1006" s="198">
        <f t="shared" si="140"/>
        <v>16345.866666666669</v>
      </c>
      <c r="T1006" s="223">
        <f t="shared" si="141"/>
        <v>179805.53333333333</v>
      </c>
      <c r="U1006" s="221">
        <v>18058</v>
      </c>
      <c r="V1006" s="221"/>
      <c r="W1006" s="223"/>
      <c r="X1006" s="196">
        <f t="shared" si="142"/>
        <v>10</v>
      </c>
      <c r="Y1006" s="457" t="s">
        <v>2689</v>
      </c>
    </row>
    <row r="1007" spans="1:25">
      <c r="N1007" s="419">
        <f>SUM(N1005:N1006)</f>
        <v>222996.4</v>
      </c>
      <c r="Q1007" s="420"/>
      <c r="R1007" s="421">
        <f>SUM(R1005:R1006)</f>
        <v>1858.2866666666669</v>
      </c>
      <c r="S1007" s="421">
        <f>SUM(S1005:S1006)</f>
        <v>18582.866666666669</v>
      </c>
      <c r="T1007" s="421">
        <f>SUM(T1005:T1006)</f>
        <v>204413.53333333333</v>
      </c>
      <c r="X1007" s="196">
        <f t="shared" si="142"/>
        <v>120</v>
      </c>
    </row>
    <row r="1008" spans="1:25">
      <c r="N1008" s="464"/>
      <c r="Q1008" s="420"/>
      <c r="R1008" s="465"/>
      <c r="S1008" s="465"/>
      <c r="T1008" s="465"/>
      <c r="X1008" s="196">
        <f t="shared" si="142"/>
        <v>120</v>
      </c>
    </row>
    <row r="1009" spans="2:25">
      <c r="B1009" s="185" t="s">
        <v>2736</v>
      </c>
      <c r="D1009" s="185" t="s">
        <v>2737</v>
      </c>
      <c r="F1009" s="185" t="s">
        <v>2718</v>
      </c>
      <c r="G1009" s="220">
        <v>41456</v>
      </c>
      <c r="H1009" s="187">
        <v>1</v>
      </c>
      <c r="I1009" s="187">
        <v>7</v>
      </c>
      <c r="J1009" s="186">
        <v>2013</v>
      </c>
      <c r="K1009" s="226" t="s">
        <v>30</v>
      </c>
      <c r="L1009" s="226" t="s">
        <v>2738</v>
      </c>
      <c r="M1009" s="226" t="s">
        <v>869</v>
      </c>
      <c r="N1009" s="168">
        <v>7499.9970000000003</v>
      </c>
      <c r="Q1009" s="109">
        <v>3</v>
      </c>
      <c r="R1009" s="112">
        <f t="shared" ref="R1009" si="143">(((N1009)-1)/3)/12</f>
        <v>208.30547222222222</v>
      </c>
      <c r="S1009" s="111">
        <f>R1009*X1009</f>
        <v>1874.7492500000001</v>
      </c>
      <c r="T1009" s="111">
        <f t="shared" ref="T1009" si="144">N1009-S1009</f>
        <v>5625.2477500000005</v>
      </c>
      <c r="U1009" s="221">
        <v>18253</v>
      </c>
      <c r="V1009" s="221"/>
      <c r="W1009" s="122"/>
      <c r="X1009" s="196">
        <f t="shared" si="142"/>
        <v>9</v>
      </c>
      <c r="Y1009" s="466" t="s">
        <v>2739</v>
      </c>
    </row>
    <row r="1010" spans="2:25">
      <c r="B1010" s="185" t="s">
        <v>2736</v>
      </c>
      <c r="D1010" s="185" t="s">
        <v>2737</v>
      </c>
      <c r="F1010" s="185" t="s">
        <v>2718</v>
      </c>
      <c r="G1010" s="220">
        <v>41456</v>
      </c>
      <c r="H1010" s="187">
        <v>1</v>
      </c>
      <c r="I1010" s="187">
        <v>7</v>
      </c>
      <c r="J1010" s="186">
        <v>2013</v>
      </c>
      <c r="K1010" s="226" t="s">
        <v>30</v>
      </c>
      <c r="L1010" s="226" t="s">
        <v>2738</v>
      </c>
      <c r="M1010" s="226" t="s">
        <v>869</v>
      </c>
      <c r="N1010" s="168">
        <v>7499.9970000000003</v>
      </c>
      <c r="Q1010" s="109">
        <v>3</v>
      </c>
      <c r="R1010" s="112">
        <f t="shared" ref="R1010:R1011" si="145">(((N1010)-1)/3)/12</f>
        <v>208.30547222222222</v>
      </c>
      <c r="S1010" s="111">
        <f t="shared" ref="S1010:S1011" si="146">R1010*X1010</f>
        <v>0</v>
      </c>
      <c r="T1010" s="111">
        <f t="shared" ref="T1010:T1011" si="147">N1010-S1010</f>
        <v>7499.9970000000003</v>
      </c>
      <c r="U1010" s="221">
        <v>18253</v>
      </c>
      <c r="X1010" s="196"/>
      <c r="Y1010" s="468" t="s">
        <v>2740</v>
      </c>
    </row>
    <row r="1011" spans="2:25">
      <c r="B1011" s="185" t="s">
        <v>2736</v>
      </c>
      <c r="D1011" s="185" t="s">
        <v>2737</v>
      </c>
      <c r="F1011" s="185" t="s">
        <v>2718</v>
      </c>
      <c r="G1011" s="220">
        <v>41464</v>
      </c>
      <c r="H1011" s="187">
        <v>9</v>
      </c>
      <c r="I1011" s="187">
        <v>7</v>
      </c>
      <c r="J1011" s="186">
        <v>2013</v>
      </c>
      <c r="K1011" s="226" t="s">
        <v>30</v>
      </c>
      <c r="L1011" s="226" t="s">
        <v>2738</v>
      </c>
      <c r="M1011" s="226" t="s">
        <v>869</v>
      </c>
      <c r="N1011" s="168">
        <v>7499.9970000000003</v>
      </c>
      <c r="Q1011" s="109">
        <v>3</v>
      </c>
      <c r="R1011" s="112">
        <f t="shared" si="145"/>
        <v>208.30547222222222</v>
      </c>
      <c r="S1011" s="111">
        <f t="shared" si="146"/>
        <v>0</v>
      </c>
      <c r="T1011" s="111">
        <f t="shared" si="147"/>
        <v>7499.9970000000003</v>
      </c>
      <c r="U1011" s="221">
        <v>18308</v>
      </c>
      <c r="X1011" s="196"/>
      <c r="Y1011" s="467" t="s">
        <v>2741</v>
      </c>
    </row>
    <row r="1012" spans="2:25">
      <c r="B1012" s="185" t="s">
        <v>2736</v>
      </c>
      <c r="D1012" s="185" t="s">
        <v>2737</v>
      </c>
      <c r="F1012" s="185" t="s">
        <v>2718</v>
      </c>
      <c r="G1012" s="220">
        <v>41464</v>
      </c>
      <c r="H1012" s="187">
        <v>9</v>
      </c>
      <c r="I1012" s="187">
        <v>7</v>
      </c>
      <c r="J1012" s="186">
        <v>2013</v>
      </c>
      <c r="K1012" s="226" t="s">
        <v>30</v>
      </c>
      <c r="L1012" s="226" t="s">
        <v>2738</v>
      </c>
      <c r="M1012" s="226" t="s">
        <v>869</v>
      </c>
      <c r="N1012" s="168">
        <v>7499.9970000000003</v>
      </c>
      <c r="Q1012" s="109">
        <v>3</v>
      </c>
      <c r="R1012" s="112">
        <f t="shared" ref="R1012" si="148">(((N1012)-1)/3)/12</f>
        <v>208.30547222222222</v>
      </c>
      <c r="S1012" s="111">
        <f t="shared" ref="S1012" si="149">R1012*X1012</f>
        <v>0</v>
      </c>
      <c r="T1012" s="111">
        <f t="shared" ref="T1012" si="150">N1012-S1012</f>
        <v>7499.9970000000003</v>
      </c>
      <c r="U1012" s="221">
        <v>18308</v>
      </c>
      <c r="X1012" s="196"/>
      <c r="Y1012" s="467" t="s">
        <v>2742</v>
      </c>
    </row>
    <row r="1013" spans="2:25">
      <c r="B1013" s="185" t="s">
        <v>2733</v>
      </c>
      <c r="F1013" s="185" t="s">
        <v>2734</v>
      </c>
      <c r="G1013" s="220">
        <v>41479</v>
      </c>
      <c r="H1013" s="187">
        <v>24</v>
      </c>
      <c r="I1013" s="187">
        <v>7</v>
      </c>
      <c r="J1013" s="186">
        <v>2013</v>
      </c>
      <c r="K1013" s="226" t="s">
        <v>30</v>
      </c>
      <c r="L1013" s="226" t="s">
        <v>2735</v>
      </c>
      <c r="M1013" s="226" t="s">
        <v>869</v>
      </c>
      <c r="N1013" s="168">
        <v>34667.22</v>
      </c>
      <c r="Q1013" s="221">
        <v>10</v>
      </c>
      <c r="R1013" s="223">
        <f t="shared" ref="R1013" si="151">(((N1013)-1)/10)/12</f>
        <v>288.88516666666669</v>
      </c>
      <c r="S1013" s="111">
        <f t="shared" ref="S1013" si="152">X1013*R1013</f>
        <v>2599.9665000000005</v>
      </c>
      <c r="T1013" s="223">
        <f t="shared" ref="T1013" si="153">N1013-S1013</f>
        <v>32067.253499999999</v>
      </c>
      <c r="U1013" s="221">
        <v>18384</v>
      </c>
      <c r="V1013" s="221"/>
      <c r="W1013" s="223"/>
      <c r="X1013" s="196">
        <f t="shared" ref="X1013" si="154">IF((DATEDIF(G1013,X$4,"m"))&gt;=120,120,(DATEDIF(G1013,X$4,"m")))</f>
        <v>9</v>
      </c>
      <c r="Y1013" s="457" t="s">
        <v>2689</v>
      </c>
    </row>
    <row r="1014" spans="2:25">
      <c r="B1014" s="185" t="s">
        <v>2733</v>
      </c>
      <c r="F1014" s="185" t="s">
        <v>2734</v>
      </c>
      <c r="G1014" s="220">
        <v>41479</v>
      </c>
      <c r="H1014" s="187">
        <v>24</v>
      </c>
      <c r="I1014" s="187">
        <v>7</v>
      </c>
      <c r="J1014" s="186">
        <v>2013</v>
      </c>
      <c r="K1014" s="226" t="s">
        <v>30</v>
      </c>
      <c r="L1014" s="226" t="s">
        <v>2735</v>
      </c>
      <c r="M1014" s="226" t="s">
        <v>869</v>
      </c>
      <c r="N1014" s="168">
        <v>34667.22</v>
      </c>
      <c r="Q1014" s="221">
        <v>10</v>
      </c>
      <c r="R1014" s="223">
        <f t="shared" ref="R1014" si="155">(((N1014)-1)/10)/12</f>
        <v>288.88516666666669</v>
      </c>
      <c r="S1014" s="111">
        <f t="shared" ref="S1014" si="156">X1014*R1014</f>
        <v>2599.9665000000005</v>
      </c>
      <c r="T1014" s="223">
        <f t="shared" ref="T1014" si="157">N1014-S1014</f>
        <v>32067.253499999999</v>
      </c>
      <c r="U1014" s="221">
        <v>18384</v>
      </c>
      <c r="V1014" s="221"/>
      <c r="W1014" s="223"/>
      <c r="X1014" s="196">
        <f t="shared" ref="X1014" si="158">IF((DATEDIF(G1014,X$4,"m"))&gt;=120,120,(DATEDIF(G1014,X$4,"m")))</f>
        <v>9</v>
      </c>
      <c r="Y1014" s="457" t="s">
        <v>2689</v>
      </c>
    </row>
    <row r="1015" spans="2:25">
      <c r="B1015" s="185" t="s">
        <v>2730</v>
      </c>
      <c r="C1015" s="185" t="s">
        <v>2729</v>
      </c>
      <c r="F1015" s="185" t="s">
        <v>2731</v>
      </c>
      <c r="G1015" s="220">
        <v>41486</v>
      </c>
      <c r="H1015" s="187">
        <v>31</v>
      </c>
      <c r="I1015" s="187">
        <v>7</v>
      </c>
      <c r="J1015" s="186">
        <v>2013</v>
      </c>
      <c r="K1015" s="226" t="s">
        <v>30</v>
      </c>
      <c r="L1015" s="226" t="s">
        <v>2732</v>
      </c>
      <c r="M1015" s="226" t="s">
        <v>869</v>
      </c>
      <c r="N1015" s="168">
        <v>95580</v>
      </c>
      <c r="Q1015" s="221">
        <v>10</v>
      </c>
      <c r="R1015" s="223">
        <f t="shared" ref="R1015" si="159">(((N1015)-1)/10)/12</f>
        <v>796.49166666666667</v>
      </c>
      <c r="S1015" s="111">
        <f t="shared" ref="S1015" si="160">X1015*R1015</f>
        <v>6371.9333333333334</v>
      </c>
      <c r="T1015" s="223">
        <f t="shared" ref="T1015" si="161">N1015-S1015</f>
        <v>89208.066666666666</v>
      </c>
      <c r="U1015" s="221">
        <v>18325</v>
      </c>
      <c r="V1015" s="221"/>
      <c r="W1015" s="223"/>
      <c r="X1015" s="196">
        <f t="shared" ref="X1015" si="162">IF((DATEDIF(G1015,X$4,"m"))&gt;=120,120,(DATEDIF(G1015,X$4,"m")))</f>
        <v>8</v>
      </c>
      <c r="Y1015" s="457" t="s">
        <v>2689</v>
      </c>
    </row>
    <row r="1016" spans="2:25">
      <c r="N1016" s="419">
        <f>SUM(N1009:P1015)</f>
        <v>194914.42800000001</v>
      </c>
      <c r="Q1016" s="420"/>
      <c r="R1016" s="419">
        <f>SUM(R1009:R1015)</f>
        <v>2207.4838888888889</v>
      </c>
      <c r="S1016" s="419">
        <f>SUM(S1009:S1015)</f>
        <v>13446.615583333334</v>
      </c>
      <c r="T1016" s="419">
        <f>SUM(T1009:T1015)</f>
        <v>181467.81241666665</v>
      </c>
      <c r="X1016" s="196"/>
    </row>
    <row r="1017" spans="2:25">
      <c r="N1017" s="464"/>
      <c r="Q1017" s="420"/>
      <c r="R1017" s="465"/>
      <c r="S1017" s="465"/>
      <c r="T1017" s="465"/>
      <c r="X1017" s="196"/>
    </row>
    <row r="1018" spans="2:25">
      <c r="B1018" s="185" t="s">
        <v>2743</v>
      </c>
      <c r="D1018" s="185" t="s">
        <v>2745</v>
      </c>
      <c r="F1018" s="185" t="s">
        <v>2746</v>
      </c>
      <c r="G1018" s="220">
        <v>41519</v>
      </c>
      <c r="H1018" s="187">
        <v>3</v>
      </c>
      <c r="I1018" s="187">
        <v>9</v>
      </c>
      <c r="J1018" s="186">
        <v>2013</v>
      </c>
      <c r="K1018" s="226" t="s">
        <v>30</v>
      </c>
      <c r="L1018" s="226" t="s">
        <v>2747</v>
      </c>
      <c r="M1018" s="226" t="s">
        <v>869</v>
      </c>
      <c r="N1018" s="168">
        <v>30906.05</v>
      </c>
      <c r="Q1018" s="221">
        <v>10</v>
      </c>
      <c r="R1018" s="223">
        <f t="shared" ref="R1018" si="163">(((N1018)-1)/10)/12</f>
        <v>257.54208333333332</v>
      </c>
      <c r="S1018" s="111">
        <f t="shared" ref="S1018" si="164">X1018*R1018</f>
        <v>1802.7945833333333</v>
      </c>
      <c r="T1018" s="223">
        <f t="shared" ref="T1018" si="165">N1018-S1018</f>
        <v>29103.255416666667</v>
      </c>
      <c r="U1018" s="221">
        <v>18517</v>
      </c>
      <c r="V1018" s="221"/>
      <c r="W1018" s="223"/>
      <c r="X1018" s="196">
        <f t="shared" ref="X1018" si="166">IF((DATEDIF(G1018,X$4,"m"))&gt;=120,120,(DATEDIF(G1018,X$4,"m")))</f>
        <v>7</v>
      </c>
      <c r="Y1018" s="478" t="s">
        <v>2748</v>
      </c>
    </row>
    <row r="1019" spans="2:25">
      <c r="B1019" s="185" t="s">
        <v>2744</v>
      </c>
      <c r="D1019" s="185" t="s">
        <v>2745</v>
      </c>
      <c r="F1019" s="185" t="s">
        <v>2746</v>
      </c>
      <c r="G1019" s="220">
        <v>41519</v>
      </c>
      <c r="H1019" s="187">
        <v>3</v>
      </c>
      <c r="I1019" s="187">
        <v>9</v>
      </c>
      <c r="J1019" s="186">
        <v>2013</v>
      </c>
      <c r="K1019" s="226" t="s">
        <v>30</v>
      </c>
      <c r="L1019" s="226" t="s">
        <v>2747</v>
      </c>
      <c r="M1019" s="226" t="s">
        <v>869</v>
      </c>
      <c r="N1019" s="168">
        <v>17271.02</v>
      </c>
      <c r="Q1019" s="221">
        <v>10</v>
      </c>
      <c r="R1019" s="223">
        <f t="shared" ref="R1019:R1020" si="167">(((N1019)-1)/10)/12</f>
        <v>143.91683333333333</v>
      </c>
      <c r="S1019" s="111">
        <f t="shared" ref="S1019:S1020" si="168">X1019*R1019</f>
        <v>1007.4178333333333</v>
      </c>
      <c r="T1019" s="223">
        <f t="shared" ref="T1019:T1020" si="169">N1019-S1019</f>
        <v>16263.602166666667</v>
      </c>
      <c r="U1019" s="221">
        <v>18517</v>
      </c>
      <c r="V1019" s="221"/>
      <c r="W1019" s="223"/>
      <c r="X1019" s="196">
        <f t="shared" ref="X1019:X1020" si="170">IF((DATEDIF(G1019,X$4,"m"))&gt;=120,120,(DATEDIF(G1019,X$4,"m")))</f>
        <v>7</v>
      </c>
      <c r="Y1019" s="478" t="s">
        <v>2749</v>
      </c>
    </row>
    <row r="1020" spans="2:25">
      <c r="B1020" s="185" t="s">
        <v>2744</v>
      </c>
      <c r="D1020" s="185" t="s">
        <v>2745</v>
      </c>
      <c r="F1020" s="185" t="s">
        <v>2746</v>
      </c>
      <c r="G1020" s="220">
        <v>41519</v>
      </c>
      <c r="H1020" s="187">
        <v>3</v>
      </c>
      <c r="I1020" s="187">
        <v>9</v>
      </c>
      <c r="J1020" s="186">
        <v>2013</v>
      </c>
      <c r="K1020" s="226" t="s">
        <v>30</v>
      </c>
      <c r="L1020" s="226" t="s">
        <v>2747</v>
      </c>
      <c r="M1020" s="226" t="s">
        <v>869</v>
      </c>
      <c r="N1020" s="168">
        <v>17271.02</v>
      </c>
      <c r="Q1020" s="221">
        <v>10</v>
      </c>
      <c r="R1020" s="223">
        <f t="shared" si="167"/>
        <v>143.91683333333333</v>
      </c>
      <c r="S1020" s="111">
        <f t="shared" si="168"/>
        <v>1007.4178333333333</v>
      </c>
      <c r="T1020" s="223">
        <f t="shared" si="169"/>
        <v>16263.602166666667</v>
      </c>
      <c r="U1020" s="221">
        <v>18517</v>
      </c>
      <c r="V1020" s="221"/>
      <c r="W1020" s="223"/>
      <c r="X1020" s="196">
        <f t="shared" si="170"/>
        <v>7</v>
      </c>
      <c r="Y1020" s="478" t="s">
        <v>2750</v>
      </c>
    </row>
    <row r="1021" spans="2:25">
      <c r="N1021" s="419">
        <f>SUM(N1018:N1020)</f>
        <v>65448.09</v>
      </c>
      <c r="Q1021" s="420"/>
      <c r="R1021" s="421">
        <f>SUM(R1018:R1020)</f>
        <v>545.37574999999993</v>
      </c>
      <c r="S1021" s="421">
        <f>SUM(S1018:S1020)</f>
        <v>3817.6302500000002</v>
      </c>
      <c r="T1021" s="421">
        <f>SUM(T1018:T1020)</f>
        <v>61630.459749999995</v>
      </c>
      <c r="X1021" s="196"/>
    </row>
    <row r="1022" spans="2:25">
      <c r="N1022" s="464"/>
      <c r="Q1022" s="420"/>
      <c r="R1022" s="465"/>
      <c r="S1022" s="465"/>
      <c r="T1022" s="465"/>
      <c r="X1022" s="196"/>
    </row>
    <row r="1023" spans="2:25">
      <c r="B1023" s="185" t="s">
        <v>2752</v>
      </c>
      <c r="D1023" s="185" t="s">
        <v>2745</v>
      </c>
      <c r="F1023" s="185" t="s">
        <v>2746</v>
      </c>
      <c r="G1023" s="220">
        <v>41549</v>
      </c>
      <c r="H1023" s="187">
        <v>2</v>
      </c>
      <c r="I1023" s="187">
        <v>10</v>
      </c>
      <c r="J1023" s="186">
        <v>2013</v>
      </c>
      <c r="K1023" s="226" t="s">
        <v>30</v>
      </c>
      <c r="L1023" s="226" t="s">
        <v>2754</v>
      </c>
      <c r="M1023" s="226" t="s">
        <v>869</v>
      </c>
      <c r="N1023" s="168">
        <v>10030</v>
      </c>
      <c r="Q1023" s="221">
        <v>10</v>
      </c>
      <c r="R1023" s="223">
        <f t="shared" ref="R1023:R1024" si="171">(((N1023)-1)/10)/12</f>
        <v>83.575000000000003</v>
      </c>
      <c r="S1023" s="111">
        <f t="shared" ref="S1023:S1024" si="172">X1023*R1023</f>
        <v>501.45000000000005</v>
      </c>
      <c r="T1023" s="223">
        <f t="shared" ref="T1023:T1024" si="173">N1023-S1023</f>
        <v>9528.5499999999993</v>
      </c>
      <c r="U1023" s="221">
        <v>18561</v>
      </c>
      <c r="V1023" s="221"/>
      <c r="W1023" s="223"/>
      <c r="X1023" s="196">
        <f t="shared" ref="X1023:X1024" si="174">IF((DATEDIF(G1023,X$4,"m"))&gt;=120,120,(DATEDIF(G1023,X$4,"m")))</f>
        <v>6</v>
      </c>
      <c r="Y1023" s="478" t="s">
        <v>2749</v>
      </c>
    </row>
    <row r="1024" spans="2:25">
      <c r="B1024" s="185" t="s">
        <v>2753</v>
      </c>
      <c r="D1024" s="185" t="s">
        <v>2745</v>
      </c>
      <c r="F1024" s="185" t="s">
        <v>2746</v>
      </c>
      <c r="G1024" s="220">
        <v>41549</v>
      </c>
      <c r="H1024" s="187">
        <v>2</v>
      </c>
      <c r="I1024" s="187">
        <v>10</v>
      </c>
      <c r="J1024" s="186">
        <v>2013</v>
      </c>
      <c r="K1024" s="226" t="s">
        <v>30</v>
      </c>
      <c r="L1024" s="226" t="s">
        <v>2754</v>
      </c>
      <c r="M1024" s="226" t="s">
        <v>869</v>
      </c>
      <c r="N1024" s="168">
        <v>7670</v>
      </c>
      <c r="Q1024" s="221">
        <v>10</v>
      </c>
      <c r="R1024" s="223">
        <f t="shared" si="171"/>
        <v>63.908333333333331</v>
      </c>
      <c r="S1024" s="111">
        <f t="shared" si="172"/>
        <v>383.45</v>
      </c>
      <c r="T1024" s="223">
        <f t="shared" si="173"/>
        <v>7286.55</v>
      </c>
      <c r="U1024" s="221">
        <v>18561</v>
      </c>
      <c r="V1024" s="221"/>
      <c r="W1024" s="223"/>
      <c r="X1024" s="196">
        <f t="shared" si="174"/>
        <v>6</v>
      </c>
      <c r="Y1024" s="478" t="s">
        <v>2750</v>
      </c>
    </row>
    <row r="1025" spans="1:24">
      <c r="N1025" s="419">
        <f>SUM(N1022:N1024)</f>
        <v>17700</v>
      </c>
      <c r="Q1025" s="420"/>
      <c r="R1025" s="421">
        <f>SUM(R1022:R1024)</f>
        <v>147.48333333333335</v>
      </c>
      <c r="S1025" s="421">
        <f>SUM(S1022:S1024)</f>
        <v>884.90000000000009</v>
      </c>
      <c r="T1025" s="421">
        <f>SUM(T1022:T1024)</f>
        <v>16815.099999999999</v>
      </c>
      <c r="X1025" s="196"/>
    </row>
    <row r="1026" spans="1:24">
      <c r="B1026" s="182"/>
      <c r="C1026" s="182"/>
      <c r="D1026" s="182"/>
      <c r="E1026" s="182"/>
      <c r="F1026" s="182"/>
      <c r="G1026" s="182"/>
      <c r="H1026" s="182"/>
      <c r="I1026" s="182"/>
      <c r="J1026" s="182"/>
      <c r="K1026" s="182"/>
      <c r="L1026" s="182"/>
      <c r="M1026" s="182"/>
      <c r="N1026" s="182"/>
      <c r="O1026" s="182"/>
      <c r="X1026" s="196"/>
    </row>
    <row r="1027" spans="1:24">
      <c r="B1027" s="67" t="s">
        <v>2764</v>
      </c>
      <c r="N1027" s="68">
        <f>+N996+N1000+N1003+N1007+N1016+N1021+N1025</f>
        <v>1571415.898</v>
      </c>
      <c r="O1027" s="68"/>
      <c r="P1027" s="68"/>
      <c r="R1027" s="68">
        <f>+R996+R1000+R1003+R1007+R1016+R1021+R1025</f>
        <v>13678.254472222223</v>
      </c>
      <c r="S1027" s="68">
        <f>+S996+S1000+S1003+S1007+S1016+S1021+S1025</f>
        <v>145191.77883333332</v>
      </c>
      <c r="T1027" s="68">
        <f>+T996+T1000+T1003+T1007+T1016+T1021+T1025</f>
        <v>1426224.1191666666</v>
      </c>
      <c r="X1027" s="196"/>
    </row>
    <row r="1028" spans="1:24">
      <c r="X1028" s="196"/>
    </row>
    <row r="1029" spans="1:24">
      <c r="X1029" s="196"/>
    </row>
    <row r="1030" spans="1:24" s="221" customFormat="1" ht="14.25" customHeight="1">
      <c r="A1030" s="226"/>
      <c r="B1030" s="185" t="s">
        <v>2801</v>
      </c>
      <c r="C1030" s="226"/>
      <c r="D1030" s="226"/>
      <c r="E1030" s="226"/>
      <c r="F1030" s="226" t="s">
        <v>2803</v>
      </c>
      <c r="G1030" s="220" t="str">
        <f>CONCATENATE(H1030,"/",I1030,"/",J1030,)</f>
        <v>14/1/2014</v>
      </c>
      <c r="H1030" s="242">
        <v>14</v>
      </c>
      <c r="I1030" s="242">
        <v>1</v>
      </c>
      <c r="J1030" s="225">
        <v>2014</v>
      </c>
      <c r="K1030" s="226" t="s">
        <v>30</v>
      </c>
      <c r="L1030" s="226" t="s">
        <v>2802</v>
      </c>
      <c r="M1030" s="226" t="s">
        <v>869</v>
      </c>
      <c r="N1030" s="230">
        <v>5338.32</v>
      </c>
      <c r="O1030" s="230"/>
      <c r="Q1030" s="221">
        <v>10</v>
      </c>
      <c r="R1030" s="112">
        <f t="shared" ref="R1030" si="175">(((N1030)-1)/10)/12</f>
        <v>44.477666666666664</v>
      </c>
      <c r="S1030" s="223">
        <f t="shared" ref="S1030" si="176">X1030*R1030</f>
        <v>133.43299999999999</v>
      </c>
      <c r="T1030" s="223">
        <f t="shared" ref="T1030" si="177">N1030-S1030</f>
        <v>5204.8869999999997</v>
      </c>
      <c r="U1030" s="510" t="s">
        <v>2804</v>
      </c>
      <c r="V1030" s="233"/>
      <c r="W1030" s="223"/>
      <c r="X1030" s="196">
        <f t="shared" ref="X1030" si="178">IF((DATEDIF(G1030,X$4,"m"))&gt;=120,120,(DATEDIF(G1030,X$4,"m")))</f>
        <v>3</v>
      </c>
    </row>
    <row r="1031" spans="1:24" s="221" customFormat="1" ht="14.25" customHeight="1">
      <c r="A1031" s="226"/>
      <c r="B1031" s="185" t="s">
        <v>2801</v>
      </c>
      <c r="C1031" s="226"/>
      <c r="D1031" s="226"/>
      <c r="E1031" s="226"/>
      <c r="F1031" s="226" t="s">
        <v>2803</v>
      </c>
      <c r="G1031" s="220" t="str">
        <f>CONCATENATE(H1031,"/",I1031,"/",J1031,)</f>
        <v>14/1/2014</v>
      </c>
      <c r="H1031" s="242">
        <v>14</v>
      </c>
      <c r="I1031" s="242">
        <v>1</v>
      </c>
      <c r="J1031" s="225">
        <v>2014</v>
      </c>
      <c r="K1031" s="226" t="s">
        <v>30</v>
      </c>
      <c r="L1031" s="226" t="s">
        <v>2802</v>
      </c>
      <c r="M1031" s="226" t="s">
        <v>869</v>
      </c>
      <c r="N1031" s="230">
        <v>5338.32</v>
      </c>
      <c r="O1031" s="230"/>
      <c r="Q1031" s="221">
        <v>10</v>
      </c>
      <c r="R1031" s="112">
        <f t="shared" ref="R1031" si="179">(((N1031)-1)/10)/12</f>
        <v>44.477666666666664</v>
      </c>
      <c r="S1031" s="223">
        <f t="shared" ref="S1031" si="180">X1031*R1031</f>
        <v>133.43299999999999</v>
      </c>
      <c r="T1031" s="223">
        <f t="shared" ref="T1031" si="181">N1031-S1031</f>
        <v>5204.8869999999997</v>
      </c>
      <c r="U1031" s="510" t="s">
        <v>2804</v>
      </c>
      <c r="V1031" s="233"/>
      <c r="W1031" s="223"/>
      <c r="X1031" s="196">
        <f t="shared" ref="X1031" si="182">IF((DATEDIF(G1031,X$4,"m"))&gt;=120,120,(DATEDIF(G1031,X$4,"m")))</f>
        <v>3</v>
      </c>
    </row>
    <row r="1032" spans="1:24">
      <c r="B1032" s="67" t="s">
        <v>2809</v>
      </c>
      <c r="N1032" s="419">
        <f>SUM(N1029:N1031)</f>
        <v>10676.64</v>
      </c>
      <c r="Q1032" s="420"/>
      <c r="R1032" s="421">
        <f>SUM(R1029:R1031)</f>
        <v>88.955333333333328</v>
      </c>
      <c r="S1032" s="421">
        <f>SUM(S1029:S1031)</f>
        <v>266.86599999999999</v>
      </c>
      <c r="T1032" s="421">
        <f>SUM(T1029:T1031)</f>
        <v>10409.773999999999</v>
      </c>
      <c r="X1032" s="196"/>
    </row>
    <row r="1033" spans="1:24">
      <c r="N1033" s="464"/>
      <c r="Q1033" s="420"/>
      <c r="R1033" s="465"/>
      <c r="S1033" s="465"/>
      <c r="T1033" s="465"/>
      <c r="X1033" s="196"/>
    </row>
    <row r="1034" spans="1:24">
      <c r="N1034" s="464"/>
      <c r="Q1034" s="420"/>
      <c r="R1034" s="465"/>
      <c r="S1034" s="465"/>
      <c r="T1034" s="465"/>
      <c r="X1034" s="196"/>
    </row>
    <row r="1035" spans="1:24" s="221" customFormat="1" ht="14.25" customHeight="1">
      <c r="A1035" s="226"/>
      <c r="B1035" s="185" t="s">
        <v>2805</v>
      </c>
      <c r="C1035" s="226"/>
      <c r="D1035" s="226"/>
      <c r="E1035" s="226"/>
      <c r="F1035" s="226" t="s">
        <v>2803</v>
      </c>
      <c r="G1035" s="220">
        <v>41690</v>
      </c>
      <c r="H1035" s="242">
        <v>20</v>
      </c>
      <c r="I1035" s="242">
        <v>2</v>
      </c>
      <c r="J1035" s="225">
        <v>2014</v>
      </c>
      <c r="K1035" s="226" t="s">
        <v>30</v>
      </c>
      <c r="L1035" s="226" t="s">
        <v>2806</v>
      </c>
      <c r="M1035" s="226" t="s">
        <v>869</v>
      </c>
      <c r="N1035" s="230">
        <v>20392.382399999999</v>
      </c>
      <c r="O1035" s="230"/>
      <c r="Q1035" s="221">
        <v>10</v>
      </c>
      <c r="R1035" s="112">
        <f t="shared" ref="R1035:R1041" si="183">(((N1035)-1)/10)/12</f>
        <v>169.92818666666665</v>
      </c>
      <c r="S1035" s="223">
        <f t="shared" ref="S1035:S1041" si="184">X1035*R1035</f>
        <v>339.85637333333329</v>
      </c>
      <c r="T1035" s="223">
        <f t="shared" ref="T1035:T1041" si="185">N1035-S1035</f>
        <v>20052.526026666666</v>
      </c>
      <c r="U1035" s="510" t="s">
        <v>2807</v>
      </c>
      <c r="V1035" s="233"/>
      <c r="W1035" s="223"/>
      <c r="X1035" s="196">
        <f t="shared" ref="X1035:X1041" si="186">IF((DATEDIF(G1035,X$4,"m"))&gt;=120,120,(DATEDIF(G1035,X$4,"m")))</f>
        <v>2</v>
      </c>
    </row>
    <row r="1036" spans="1:24" s="221" customFormat="1" ht="14.25" customHeight="1">
      <c r="A1036" s="226"/>
      <c r="B1036" s="185" t="s">
        <v>2805</v>
      </c>
      <c r="C1036" s="226"/>
      <c r="D1036" s="226"/>
      <c r="E1036" s="226"/>
      <c r="F1036" s="226" t="s">
        <v>2803</v>
      </c>
      <c r="G1036" s="220">
        <v>41690</v>
      </c>
      <c r="H1036" s="242">
        <v>20</v>
      </c>
      <c r="I1036" s="242">
        <v>2</v>
      </c>
      <c r="J1036" s="225">
        <v>2014</v>
      </c>
      <c r="K1036" s="226" t="s">
        <v>30</v>
      </c>
      <c r="L1036" s="226" t="s">
        <v>2806</v>
      </c>
      <c r="M1036" s="226" t="s">
        <v>869</v>
      </c>
      <c r="N1036" s="230">
        <v>20392.382399999999</v>
      </c>
      <c r="O1036" s="230"/>
      <c r="Q1036" s="221">
        <v>10</v>
      </c>
      <c r="R1036" s="112">
        <f t="shared" ref="R1036:R1037" si="187">(((N1036)-1)/10)/12</f>
        <v>169.92818666666665</v>
      </c>
      <c r="S1036" s="223">
        <f t="shared" ref="S1036:S1037" si="188">X1036*R1036</f>
        <v>339.85637333333329</v>
      </c>
      <c r="T1036" s="223">
        <f t="shared" ref="T1036:T1037" si="189">N1036-S1036</f>
        <v>20052.526026666666</v>
      </c>
      <c r="U1036" s="510" t="s">
        <v>2807</v>
      </c>
      <c r="V1036" s="233"/>
      <c r="W1036" s="223"/>
      <c r="X1036" s="196">
        <f t="shared" ref="X1036:X1037" si="190">IF((DATEDIF(G1036,X$4,"m"))&gt;=120,120,(DATEDIF(G1036,X$4,"m")))</f>
        <v>2</v>
      </c>
    </row>
    <row r="1037" spans="1:24" s="221" customFormat="1" ht="14.25" customHeight="1">
      <c r="A1037" s="226"/>
      <c r="B1037" s="185" t="s">
        <v>2805</v>
      </c>
      <c r="C1037" s="226"/>
      <c r="D1037" s="226"/>
      <c r="E1037" s="226"/>
      <c r="F1037" s="226" t="s">
        <v>2803</v>
      </c>
      <c r="G1037" s="220">
        <v>41690</v>
      </c>
      <c r="H1037" s="242">
        <v>20</v>
      </c>
      <c r="I1037" s="242">
        <v>2</v>
      </c>
      <c r="J1037" s="225">
        <v>2014</v>
      </c>
      <c r="K1037" s="226" t="s">
        <v>30</v>
      </c>
      <c r="L1037" s="226" t="s">
        <v>2806</v>
      </c>
      <c r="M1037" s="226" t="s">
        <v>869</v>
      </c>
      <c r="N1037" s="230">
        <v>20392.382399999999</v>
      </c>
      <c r="O1037" s="230"/>
      <c r="Q1037" s="221">
        <v>10</v>
      </c>
      <c r="R1037" s="112">
        <f t="shared" si="187"/>
        <v>169.92818666666665</v>
      </c>
      <c r="S1037" s="223">
        <f t="shared" si="188"/>
        <v>339.85637333333329</v>
      </c>
      <c r="T1037" s="223">
        <f t="shared" si="189"/>
        <v>20052.526026666666</v>
      </c>
      <c r="U1037" s="510" t="s">
        <v>2807</v>
      </c>
      <c r="V1037" s="233"/>
      <c r="W1037" s="223"/>
      <c r="X1037" s="196">
        <f t="shared" si="190"/>
        <v>2</v>
      </c>
    </row>
    <row r="1038" spans="1:24" s="221" customFormat="1" ht="14.25" customHeight="1">
      <c r="A1038" s="226"/>
      <c r="B1038" s="185" t="s">
        <v>2808</v>
      </c>
      <c r="C1038" s="226"/>
      <c r="D1038" s="226"/>
      <c r="E1038" s="226"/>
      <c r="F1038" s="226" t="s">
        <v>2803</v>
      </c>
      <c r="G1038" s="220">
        <v>41690</v>
      </c>
      <c r="H1038" s="242">
        <v>20</v>
      </c>
      <c r="I1038" s="242">
        <v>2</v>
      </c>
      <c r="J1038" s="225">
        <v>2014</v>
      </c>
      <c r="K1038" s="226" t="s">
        <v>30</v>
      </c>
      <c r="L1038" s="226" t="s">
        <v>2806</v>
      </c>
      <c r="M1038" s="226" t="s">
        <v>869</v>
      </c>
      <c r="N1038" s="230">
        <v>4511.9070000000002</v>
      </c>
      <c r="O1038" s="230"/>
      <c r="Q1038" s="221">
        <v>10</v>
      </c>
      <c r="R1038" s="112">
        <f t="shared" ref="R1038" si="191">(((N1038)-1)/10)/12</f>
        <v>37.590891666666671</v>
      </c>
      <c r="S1038" s="223">
        <f t="shared" ref="S1038" si="192">X1038*R1038</f>
        <v>75.181783333333343</v>
      </c>
      <c r="T1038" s="223">
        <f t="shared" ref="T1038" si="193">N1038-S1038</f>
        <v>4436.7252166666667</v>
      </c>
      <c r="U1038" s="510" t="s">
        <v>2807</v>
      </c>
      <c r="V1038" s="233"/>
      <c r="W1038" s="223"/>
      <c r="X1038" s="196">
        <f t="shared" ref="X1038" si="194">IF((DATEDIF(G1038,X$4,"m"))&gt;=120,120,(DATEDIF(G1038,X$4,"m")))</f>
        <v>2</v>
      </c>
    </row>
    <row r="1039" spans="1:24" s="221" customFormat="1" ht="14.25" customHeight="1">
      <c r="A1039" s="226"/>
      <c r="B1039" s="185" t="s">
        <v>2801</v>
      </c>
      <c r="C1039" s="226"/>
      <c r="D1039" s="226"/>
      <c r="E1039" s="226"/>
      <c r="F1039" s="226" t="s">
        <v>2803</v>
      </c>
      <c r="G1039" s="220">
        <v>41690</v>
      </c>
      <c r="H1039" s="242">
        <v>20</v>
      </c>
      <c r="I1039" s="242">
        <v>2</v>
      </c>
      <c r="J1039" s="225">
        <v>2014</v>
      </c>
      <c r="K1039" s="226" t="s">
        <v>30</v>
      </c>
      <c r="L1039" s="226" t="s">
        <v>2806</v>
      </c>
      <c r="M1039" s="226" t="s">
        <v>869</v>
      </c>
      <c r="N1039" s="230">
        <v>5338.32</v>
      </c>
      <c r="O1039" s="230"/>
      <c r="Q1039" s="221">
        <v>10</v>
      </c>
      <c r="R1039" s="112">
        <f t="shared" ref="R1039:R1040" si="195">(((N1039)-1)/10)/12</f>
        <v>44.477666666666664</v>
      </c>
      <c r="S1039" s="223">
        <f t="shared" ref="S1039:S1040" si="196">X1039*R1039</f>
        <v>88.955333333333328</v>
      </c>
      <c r="T1039" s="223">
        <f t="shared" ref="T1039:T1040" si="197">N1039-S1039</f>
        <v>5249.3646666666664</v>
      </c>
      <c r="U1039" s="510" t="s">
        <v>2807</v>
      </c>
      <c r="V1039" s="233"/>
      <c r="W1039" s="223"/>
      <c r="X1039" s="196">
        <f t="shared" ref="X1039:X1040" si="198">IF((DATEDIF(G1039,X$4,"m"))&gt;=120,120,(DATEDIF(G1039,X$4,"m")))</f>
        <v>2</v>
      </c>
    </row>
    <row r="1040" spans="1:24" s="221" customFormat="1" ht="14.25" customHeight="1">
      <c r="A1040" s="226"/>
      <c r="B1040" s="185" t="s">
        <v>2801</v>
      </c>
      <c r="C1040" s="226"/>
      <c r="D1040" s="226"/>
      <c r="E1040" s="226"/>
      <c r="F1040" s="226" t="s">
        <v>2803</v>
      </c>
      <c r="G1040" s="220">
        <v>41690</v>
      </c>
      <c r="H1040" s="242">
        <v>20</v>
      </c>
      <c r="I1040" s="242">
        <v>2</v>
      </c>
      <c r="J1040" s="225">
        <v>2014</v>
      </c>
      <c r="K1040" s="226" t="s">
        <v>30</v>
      </c>
      <c r="L1040" s="226" t="s">
        <v>2806</v>
      </c>
      <c r="M1040" s="226" t="s">
        <v>869</v>
      </c>
      <c r="N1040" s="230">
        <v>5338.32</v>
      </c>
      <c r="O1040" s="230"/>
      <c r="Q1040" s="221">
        <v>10</v>
      </c>
      <c r="R1040" s="112">
        <f t="shared" si="195"/>
        <v>44.477666666666664</v>
      </c>
      <c r="S1040" s="223">
        <f t="shared" si="196"/>
        <v>88.955333333333328</v>
      </c>
      <c r="T1040" s="223">
        <f t="shared" si="197"/>
        <v>5249.3646666666664</v>
      </c>
      <c r="U1040" s="510" t="s">
        <v>2807</v>
      </c>
      <c r="V1040" s="233"/>
      <c r="W1040" s="223"/>
      <c r="X1040" s="196">
        <f t="shared" si="198"/>
        <v>2</v>
      </c>
    </row>
    <row r="1041" spans="1:24" s="221" customFormat="1" ht="14.25" customHeight="1">
      <c r="A1041" s="226"/>
      <c r="B1041" s="185" t="s">
        <v>2801</v>
      </c>
      <c r="C1041" s="226"/>
      <c r="D1041" s="226"/>
      <c r="E1041" s="226"/>
      <c r="F1041" s="226" t="s">
        <v>2803</v>
      </c>
      <c r="G1041" s="220">
        <v>41690</v>
      </c>
      <c r="H1041" s="242">
        <v>20</v>
      </c>
      <c r="I1041" s="242">
        <v>2</v>
      </c>
      <c r="J1041" s="225">
        <v>2014</v>
      </c>
      <c r="K1041" s="226" t="s">
        <v>30</v>
      </c>
      <c r="L1041" s="226" t="s">
        <v>2806</v>
      </c>
      <c r="M1041" s="226" t="s">
        <v>869</v>
      </c>
      <c r="N1041" s="230">
        <v>5338.32</v>
      </c>
      <c r="O1041" s="230"/>
      <c r="Q1041" s="221">
        <v>10</v>
      </c>
      <c r="R1041" s="112">
        <f t="shared" si="183"/>
        <v>44.477666666666664</v>
      </c>
      <c r="S1041" s="223">
        <f t="shared" si="184"/>
        <v>88.955333333333328</v>
      </c>
      <c r="T1041" s="223">
        <f t="shared" si="185"/>
        <v>5249.3646666666664</v>
      </c>
      <c r="U1041" s="510" t="s">
        <v>2807</v>
      </c>
      <c r="V1041" s="233"/>
      <c r="W1041" s="223"/>
      <c r="X1041" s="196">
        <f t="shared" si="186"/>
        <v>2</v>
      </c>
    </row>
    <row r="1042" spans="1:24">
      <c r="B1042" s="67" t="s">
        <v>2810</v>
      </c>
      <c r="N1042" s="419">
        <f>SUM(N1035:N1041)</f>
        <v>81704.014200000005</v>
      </c>
      <c r="Q1042" s="420"/>
      <c r="R1042" s="421">
        <f>SUM(R1034:R1041)</f>
        <v>680.80845166666666</v>
      </c>
      <c r="S1042" s="421">
        <f>SUM(S1034:S1041)</f>
        <v>1361.6169033333333</v>
      </c>
      <c r="T1042" s="421">
        <f>SUM(T1034:T1041)</f>
        <v>80342.397296666648</v>
      </c>
      <c r="X1042" s="196"/>
    </row>
    <row r="1043" spans="1:24">
      <c r="N1043" s="464"/>
      <c r="Q1043" s="420"/>
      <c r="R1043" s="465"/>
      <c r="S1043" s="465"/>
      <c r="T1043" s="465"/>
      <c r="X1043" s="196"/>
    </row>
    <row r="1044" spans="1:24">
      <c r="N1044" s="464"/>
      <c r="Q1044" s="420"/>
      <c r="R1044" s="465"/>
      <c r="S1044" s="465"/>
      <c r="T1044" s="465"/>
      <c r="X1044" s="196"/>
    </row>
    <row r="1045" spans="1:24">
      <c r="X1045" s="196"/>
    </row>
    <row r="1046" spans="1:24">
      <c r="X1046" s="196"/>
    </row>
    <row r="1047" spans="1:24" s="288" customFormat="1" ht="16.5" thickBot="1">
      <c r="A1047" s="461"/>
      <c r="B1047" s="461"/>
      <c r="C1047" s="461"/>
      <c r="D1047" s="461"/>
      <c r="E1047" s="461"/>
      <c r="F1047" s="461"/>
      <c r="G1047" s="461"/>
      <c r="H1047" s="462"/>
      <c r="I1047" s="462"/>
      <c r="J1047" s="463"/>
      <c r="K1047" s="461"/>
      <c r="L1047" s="461"/>
      <c r="M1047" s="461"/>
      <c r="N1047" s="300">
        <f>N992+N996+N1000+N1003+N1007+N1016+N1021+N1025+N1032+N1042</f>
        <v>10084695.59766401</v>
      </c>
      <c r="O1047" s="300">
        <f>O992+O996+O1000+O1003</f>
        <v>0</v>
      </c>
      <c r="P1047" s="300">
        <f>P992+P996+P1000+P1003</f>
        <v>0</v>
      </c>
      <c r="Q1047" s="300"/>
      <c r="R1047" s="300">
        <f>R992+R996+R1000+R1003+R1007+R1016+R1021+R1032+R1042</f>
        <v>93483.378636089008</v>
      </c>
      <c r="S1047" s="300">
        <f>S992+S996+S1000+S1003+S1007+S1016+S1021+S1025+S1032+S1042</f>
        <v>5767850.9032306578</v>
      </c>
      <c r="T1047" s="300">
        <f>T992+T996+T1000+T1003+T1007+T1016+T1021+T1025+T1032+T1042</f>
        <v>4316844.6944333315</v>
      </c>
      <c r="X1047" s="196"/>
    </row>
    <row r="1048" spans="1:24" ht="16.5" thickTop="1"/>
  </sheetData>
  <sheetProtection sort="0" autoFilter="0"/>
  <autoFilter ref="A6:X871">
    <filterColumn colId="1"/>
  </autoFilter>
  <mergeCells count="5">
    <mergeCell ref="A1:T1"/>
    <mergeCell ref="A2:T2"/>
    <mergeCell ref="A3:T3"/>
    <mergeCell ref="R5:S5"/>
    <mergeCell ref="H5:J5"/>
  </mergeCells>
  <printOptions horizontalCentered="1"/>
  <pageMargins left="0.78740157480314965" right="0.78740157480314965" top="0.59055118110236227" bottom="0.82677165354330717" header="0.51181102362204722" footer="0.59055118110236227"/>
  <pageSetup paperSize="5" scale="48" orientation="landscape" r:id="rId1"/>
  <headerFooter alignWithMargins="0">
    <oddFooter>Página &amp;P&amp;R&amp;A</oddFooter>
  </headerFooter>
  <rowBreaks count="1" manualBreakCount="1">
    <brk id="810" max="19" man="1"/>
  </rowBreaks>
  <colBreaks count="1" manualBreakCount="1">
    <brk id="2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2:X12"/>
  <sheetViews>
    <sheetView tabSelected="1" topLeftCell="K1" zoomScaleNormal="100" workbookViewId="0">
      <selection sqref="A1:T2"/>
    </sheetView>
  </sheetViews>
  <sheetFormatPr baseColWidth="10" defaultRowHeight="15.75"/>
  <cols>
    <col min="1" max="1" width="11.42578125" style="54"/>
    <col min="2" max="2" width="54.42578125" style="54" customWidth="1"/>
    <col min="3" max="3" width="17" style="54" customWidth="1"/>
    <col min="4" max="4" width="19.140625" style="54" customWidth="1"/>
    <col min="5" max="5" width="32.42578125" style="54" customWidth="1"/>
    <col min="6" max="6" width="33.7109375" style="54" customWidth="1"/>
    <col min="7" max="7" width="21.42578125" style="54" bestFit="1" customWidth="1"/>
    <col min="8" max="8" width="6" style="54" hidden="1" customWidth="1"/>
    <col min="9" max="9" width="5.140625" style="54" hidden="1" customWidth="1"/>
    <col min="10" max="10" width="7" style="54" hidden="1" customWidth="1"/>
    <col min="11" max="11" width="12.140625" style="54" customWidth="1"/>
    <col min="12" max="12" width="12.28515625" style="54" customWidth="1"/>
    <col min="13" max="13" width="11.42578125" style="54"/>
    <col min="14" max="14" width="17.140625" style="54" customWidth="1"/>
    <col min="15" max="21" width="11.42578125" style="54"/>
    <col min="22" max="22" width="7" style="54" customWidth="1"/>
    <col min="23" max="16384" width="11.42578125" style="54"/>
  </cols>
  <sheetData>
    <row r="2" spans="1:24">
      <c r="A2" s="545" t="s">
        <v>0</v>
      </c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  <c r="Q2" s="545"/>
      <c r="R2" s="545"/>
      <c r="S2" s="545"/>
      <c r="T2" s="545"/>
      <c r="X2" s="110"/>
    </row>
    <row r="3" spans="1:24">
      <c r="A3" s="546" t="s">
        <v>58</v>
      </c>
      <c r="B3" s="546"/>
      <c r="C3" s="546"/>
      <c r="D3" s="546"/>
      <c r="E3" s="546"/>
      <c r="F3" s="546"/>
      <c r="G3" s="546"/>
      <c r="H3" s="546"/>
      <c r="I3" s="546"/>
      <c r="J3" s="546"/>
      <c r="K3" s="546"/>
      <c r="L3" s="546"/>
      <c r="M3" s="546"/>
      <c r="N3" s="546"/>
      <c r="O3" s="546"/>
      <c r="P3" s="546"/>
      <c r="Q3" s="546"/>
      <c r="R3" s="546"/>
      <c r="S3" s="546"/>
      <c r="T3" s="546"/>
      <c r="X3" s="110"/>
    </row>
    <row r="4" spans="1:24">
      <c r="A4" s="546" t="str">
        <f>'Equipos de Producción'!A3:S3</f>
        <v>(Al 30 de Abril del 2014)</v>
      </c>
      <c r="B4" s="546"/>
      <c r="C4" s="546"/>
      <c r="D4" s="546"/>
      <c r="E4" s="546"/>
      <c r="F4" s="546"/>
      <c r="G4" s="546"/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X4" s="110"/>
    </row>
    <row r="5" spans="1:24">
      <c r="A5" s="298"/>
      <c r="B5" s="298"/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40"/>
      <c r="T5" s="27"/>
      <c r="X5" s="180">
        <f>'Equipos de Producción'!$U$4</f>
        <v>41759</v>
      </c>
    </row>
    <row r="6" spans="1:24">
      <c r="A6" s="26"/>
      <c r="B6" s="26"/>
      <c r="C6" s="26"/>
      <c r="D6" s="26"/>
      <c r="E6" s="26"/>
      <c r="F6" s="26"/>
      <c r="G6" s="26"/>
      <c r="H6" s="515" t="s">
        <v>57</v>
      </c>
      <c r="I6" s="516"/>
      <c r="J6" s="517"/>
      <c r="K6" s="26"/>
      <c r="L6" s="26"/>
      <c r="M6" s="26"/>
      <c r="N6" s="39"/>
      <c r="O6" s="27"/>
      <c r="P6" s="27"/>
      <c r="Q6" s="518" t="s">
        <v>3</v>
      </c>
      <c r="R6" s="547"/>
      <c r="S6" s="38"/>
      <c r="T6" s="27"/>
      <c r="U6" s="27"/>
      <c r="V6" s="27"/>
      <c r="W6" s="27"/>
      <c r="X6" s="110"/>
    </row>
    <row r="7" spans="1:24" ht="29.25" customHeight="1">
      <c r="A7" s="32" t="s">
        <v>4</v>
      </c>
      <c r="B7" s="32" t="s">
        <v>5</v>
      </c>
      <c r="C7" s="32" t="s">
        <v>6</v>
      </c>
      <c r="D7" s="32" t="s">
        <v>7</v>
      </c>
      <c r="E7" s="32" t="s">
        <v>8</v>
      </c>
      <c r="F7" s="32" t="s">
        <v>9</v>
      </c>
      <c r="G7" s="32" t="s">
        <v>10</v>
      </c>
      <c r="H7" s="37" t="s">
        <v>11</v>
      </c>
      <c r="I7" s="37" t="s">
        <v>12</v>
      </c>
      <c r="J7" s="36" t="s">
        <v>13</v>
      </c>
      <c r="K7" s="32" t="s">
        <v>14</v>
      </c>
      <c r="L7" s="32" t="s">
        <v>15</v>
      </c>
      <c r="M7" s="32" t="s">
        <v>16</v>
      </c>
      <c r="N7" s="35" t="s">
        <v>17</v>
      </c>
      <c r="O7" s="32" t="s">
        <v>19</v>
      </c>
      <c r="P7" s="32" t="s">
        <v>20</v>
      </c>
      <c r="Q7" s="34" t="s">
        <v>21</v>
      </c>
      <c r="R7" s="33" t="s">
        <v>22</v>
      </c>
      <c r="S7" s="33" t="s">
        <v>23</v>
      </c>
      <c r="T7" s="32" t="s">
        <v>56</v>
      </c>
      <c r="U7" s="31"/>
      <c r="V7" s="31"/>
      <c r="W7" s="31"/>
      <c r="X7" s="173" t="s">
        <v>867</v>
      </c>
    </row>
    <row r="8" spans="1:24" ht="28.5" customHeight="1" thickBot="1">
      <c r="B8" s="30" t="s">
        <v>2526</v>
      </c>
      <c r="C8" s="27"/>
      <c r="D8" s="27"/>
      <c r="E8" s="27"/>
      <c r="F8" s="27" t="s">
        <v>55</v>
      </c>
      <c r="G8" s="220" t="str">
        <f t="shared" ref="G8" si="0">CONCATENATE(H8,"/",I8,"/",J8,)</f>
        <v>24/6/2009</v>
      </c>
      <c r="H8" s="27">
        <v>24</v>
      </c>
      <c r="I8" s="27">
        <v>6</v>
      </c>
      <c r="J8" s="27">
        <v>2009</v>
      </c>
      <c r="K8" s="27" t="s">
        <v>54</v>
      </c>
      <c r="L8" s="26" t="s">
        <v>53</v>
      </c>
      <c r="M8" s="27" t="s">
        <v>52</v>
      </c>
      <c r="N8" s="372">
        <v>28500</v>
      </c>
      <c r="P8" s="54">
        <v>5</v>
      </c>
      <c r="Q8" s="112">
        <f>(((N8)-1)/5)/12</f>
        <v>474.98333333333335</v>
      </c>
      <c r="R8" s="373">
        <f>Q8*X8</f>
        <v>27549.033333333333</v>
      </c>
      <c r="S8" s="373">
        <f>N8-R8</f>
        <v>950.96666666666715</v>
      </c>
      <c r="V8" s="29">
        <f>((2011-J8)*12)+(12-I8)+1</f>
        <v>31</v>
      </c>
      <c r="W8" s="4"/>
      <c r="X8" s="121">
        <f>IF((DATEDIF(G8,X$5,"m"))&gt;=60,60,(DATEDIF(G8,X$5,"m")))</f>
        <v>58</v>
      </c>
    </row>
    <row r="9" spans="1:24" ht="16.5" thickBot="1">
      <c r="B9" s="28" t="s">
        <v>51</v>
      </c>
      <c r="C9" s="27"/>
      <c r="D9" s="27"/>
      <c r="E9" s="27"/>
      <c r="F9" s="27"/>
      <c r="G9" s="27"/>
      <c r="H9" s="27"/>
      <c r="I9" s="27"/>
      <c r="J9" s="27"/>
      <c r="K9" s="27"/>
      <c r="L9" s="26"/>
      <c r="M9" s="27"/>
      <c r="N9" s="374">
        <v>28500</v>
      </c>
    </row>
    <row r="10" spans="1:24" ht="16.5" thickTop="1"/>
    <row r="11" spans="1:24" s="27" customFormat="1"/>
    <row r="12" spans="1:24" s="27" customFormat="1"/>
  </sheetData>
  <mergeCells count="5">
    <mergeCell ref="A2:T2"/>
    <mergeCell ref="A3:T3"/>
    <mergeCell ref="A4:T4"/>
    <mergeCell ref="H6:J6"/>
    <mergeCell ref="Q6:R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R7"/>
  <sheetViews>
    <sheetView topLeftCell="H1" zoomScaleNormal="100" workbookViewId="0">
      <selection activeCell="K14" sqref="K14"/>
    </sheetView>
  </sheetViews>
  <sheetFormatPr baseColWidth="10" defaultRowHeight="12.75"/>
  <cols>
    <col min="1" max="1" width="36.7109375" style="375" customWidth="1"/>
    <col min="2" max="3" width="26.7109375" style="86" customWidth="1"/>
    <col min="4" max="6" width="6.7109375" style="86" hidden="1" customWidth="1"/>
    <col min="7" max="7" width="11.42578125" style="86"/>
    <col min="8" max="8" width="14.7109375" style="376" customWidth="1"/>
    <col min="9" max="11" width="15.7109375" style="376" customWidth="1"/>
    <col min="12" max="12" width="15.7109375" style="86" customWidth="1"/>
    <col min="13" max="13" width="15.7109375" style="377" customWidth="1"/>
    <col min="14" max="14" width="12.85546875" style="376" bestFit="1" customWidth="1"/>
    <col min="15" max="15" width="14" style="376" bestFit="1" customWidth="1"/>
    <col min="16" max="16" width="14.7109375" style="376" customWidth="1"/>
    <col min="17" max="16384" width="11.42578125" style="86"/>
  </cols>
  <sheetData>
    <row r="1" spans="1:18" s="89" customFormat="1" ht="20.25">
      <c r="A1" s="513" t="s">
        <v>0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R1" s="181"/>
    </row>
    <row r="2" spans="1:18" s="88" customFormat="1" ht="20.25">
      <c r="A2" s="514" t="s">
        <v>68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R2" s="181"/>
    </row>
    <row r="3" spans="1:18">
      <c r="A3" s="533" t="str">
        <f>'Equipos de Producción'!A3:S3</f>
        <v>(Al 30 de Abril del 2014)</v>
      </c>
      <c r="B3" s="533"/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3"/>
      <c r="O3" s="533"/>
      <c r="P3" s="533"/>
      <c r="R3" s="181"/>
    </row>
    <row r="4" spans="1:18">
      <c r="A4" s="86"/>
      <c r="H4" s="86"/>
      <c r="I4" s="86"/>
      <c r="J4" s="86"/>
      <c r="K4" s="86"/>
      <c r="M4" s="86"/>
      <c r="N4" s="86"/>
      <c r="O4" s="86"/>
      <c r="P4" s="86"/>
      <c r="R4" s="180">
        <f>'Equipos de Producción'!$U$4</f>
        <v>41759</v>
      </c>
    </row>
    <row r="5" spans="1:18" s="54" customFormat="1" ht="15.75">
      <c r="A5" s="56"/>
      <c r="D5" s="515" t="s">
        <v>2</v>
      </c>
      <c r="E5" s="516"/>
      <c r="F5" s="517"/>
      <c r="H5" s="38"/>
      <c r="I5" s="38"/>
      <c r="J5" s="38"/>
      <c r="K5" s="38"/>
      <c r="M5" s="55"/>
      <c r="N5" s="518" t="s">
        <v>3</v>
      </c>
      <c r="O5" s="547"/>
      <c r="P5" s="38"/>
      <c r="R5" s="110"/>
    </row>
    <row r="6" spans="1:18" s="46" customFormat="1" ht="47.25">
      <c r="A6" s="51" t="s">
        <v>5</v>
      </c>
      <c r="B6" s="51" t="s">
        <v>9</v>
      </c>
      <c r="C6" s="51"/>
      <c r="D6" s="53" t="s">
        <v>11</v>
      </c>
      <c r="E6" s="53" t="s">
        <v>12</v>
      </c>
      <c r="F6" s="52" t="s">
        <v>13</v>
      </c>
      <c r="G6" s="51" t="s">
        <v>16</v>
      </c>
      <c r="H6" s="34" t="s">
        <v>67</v>
      </c>
      <c r="I6" s="34" t="s">
        <v>66</v>
      </c>
      <c r="J6" s="34" t="s">
        <v>65</v>
      </c>
      <c r="K6" s="34" t="s">
        <v>64</v>
      </c>
      <c r="L6" s="50" t="s">
        <v>63</v>
      </c>
      <c r="M6" s="49" t="s">
        <v>62</v>
      </c>
      <c r="N6" s="48" t="s">
        <v>21</v>
      </c>
      <c r="O6" s="47" t="s">
        <v>2524</v>
      </c>
      <c r="P6" s="33" t="s">
        <v>23</v>
      </c>
      <c r="R6" s="173" t="s">
        <v>867</v>
      </c>
    </row>
    <row r="7" spans="1:18" ht="38.25">
      <c r="A7" s="375" t="s">
        <v>61</v>
      </c>
      <c r="B7" s="86" t="s">
        <v>60</v>
      </c>
      <c r="C7" s="331" t="str">
        <f t="shared" ref="C7" si="0">CONCATENATE(D7,"/",E7,"/",F7,)</f>
        <v>31/12/2003</v>
      </c>
      <c r="D7" s="86">
        <v>31</v>
      </c>
      <c r="E7" s="86">
        <v>12</v>
      </c>
      <c r="F7" s="86">
        <v>2003</v>
      </c>
      <c r="G7" s="315" t="s">
        <v>59</v>
      </c>
      <c r="H7" s="376">
        <f>31840000</f>
        <v>31840000</v>
      </c>
      <c r="I7" s="376">
        <f>-2100000-1075000-1456800-24000</f>
        <v>-4655800</v>
      </c>
      <c r="J7" s="376">
        <f>2684468.35+5000000</f>
        <v>7684468.3499999996</v>
      </c>
      <c r="K7" s="376">
        <f>2702832.19+9226.22+5285741.58+2047189</f>
        <v>10044988.99</v>
      </c>
      <c r="L7" s="376">
        <f>SUM(H7:J7)+K7</f>
        <v>44913657.340000004</v>
      </c>
      <c r="M7" s="377">
        <v>50</v>
      </c>
      <c r="N7" s="316">
        <f>(((L7)-1)/50)/12</f>
        <v>74856.093900000007</v>
      </c>
      <c r="O7" s="376">
        <f>N7*R7</f>
        <v>9207299.5497000013</v>
      </c>
      <c r="P7" s="376">
        <f>L7-O7</f>
        <v>35706357.790300004</v>
      </c>
      <c r="R7" s="121">
        <f>IF((DATEDIF(C7,R$4,"m"))&gt;=600,600,(DATEDIF(C7,R$4,"m")))</f>
        <v>123</v>
      </c>
    </row>
  </sheetData>
  <mergeCells count="5">
    <mergeCell ref="A1:P1"/>
    <mergeCell ref="A2:P2"/>
    <mergeCell ref="A3:P3"/>
    <mergeCell ref="D5:F5"/>
    <mergeCell ref="N5:O5"/>
  </mergeCells>
  <printOptions horizontalCentered="1"/>
  <pageMargins left="0.78740157480314965" right="0.78740157480314965" top="0.98425196850393704" bottom="0.98425196850393704" header="0" footer="0.51181102362204722"/>
  <pageSetup paperSize="5" scale="65" fitToHeight="2" orientation="landscape" r:id="rId1"/>
  <headerFooter alignWithMargins="0">
    <oddFooter>Página &amp;P&amp;R&amp;A</oddFooter>
  </headerFooter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J63"/>
  <sheetViews>
    <sheetView topLeftCell="C1" workbookViewId="0">
      <selection sqref="A1:T2"/>
    </sheetView>
  </sheetViews>
  <sheetFormatPr baseColWidth="10" defaultColWidth="9.140625" defaultRowHeight="15.75"/>
  <cols>
    <col min="1" max="1" width="39.7109375" style="182" customWidth="1"/>
    <col min="2" max="2" width="18.7109375" style="182" customWidth="1"/>
    <col min="3" max="3" width="12.7109375" style="182" customWidth="1"/>
    <col min="4" max="6" width="6.7109375" style="182" customWidth="1"/>
    <col min="7" max="7" width="14.7109375" style="182" customWidth="1"/>
    <col min="8" max="8" width="15.7109375" style="182" customWidth="1"/>
    <col min="9" max="9" width="24.140625" style="182" customWidth="1"/>
    <col min="10" max="10" width="12.5703125" style="182" customWidth="1"/>
    <col min="11" max="16384" width="9.140625" style="182"/>
  </cols>
  <sheetData>
    <row r="1" spans="1:10" ht="12.75" customHeight="1">
      <c r="A1" s="549" t="s">
        <v>0</v>
      </c>
      <c r="B1" s="549"/>
      <c r="C1" s="549"/>
      <c r="D1" s="549"/>
      <c r="E1" s="549"/>
      <c r="F1" s="549"/>
      <c r="G1" s="549"/>
      <c r="H1" s="549"/>
      <c r="I1" s="549"/>
      <c r="J1" s="549"/>
    </row>
    <row r="2" spans="1:10" ht="12.75" customHeight="1">
      <c r="A2" s="549"/>
      <c r="B2" s="549"/>
      <c r="C2" s="549"/>
      <c r="D2" s="549"/>
      <c r="E2" s="549"/>
      <c r="F2" s="549"/>
      <c r="G2" s="549"/>
      <c r="H2" s="549"/>
      <c r="I2" s="549"/>
      <c r="J2" s="549"/>
    </row>
    <row r="3" spans="1:10" s="288" customFormat="1">
      <c r="A3" s="549" t="s">
        <v>348</v>
      </c>
      <c r="B3" s="549"/>
      <c r="C3" s="549"/>
      <c r="D3" s="549"/>
      <c r="E3" s="549"/>
      <c r="F3" s="549"/>
      <c r="G3" s="549"/>
      <c r="H3" s="549"/>
      <c r="I3" s="549"/>
      <c r="J3" s="549"/>
    </row>
    <row r="4" spans="1:10" s="288" customFormat="1">
      <c r="A4" s="549" t="str">
        <f>'Equipos de Producción'!A3:S3</f>
        <v>(Al 30 de Abril del 2014)</v>
      </c>
      <c r="B4" s="549"/>
      <c r="C4" s="549"/>
      <c r="D4" s="549"/>
      <c r="E4" s="549"/>
      <c r="F4" s="549"/>
      <c r="G4" s="549"/>
      <c r="H4" s="549"/>
      <c r="I4" s="549"/>
      <c r="J4" s="549"/>
    </row>
    <row r="5" spans="1:10" s="288" customFormat="1">
      <c r="A5" s="289"/>
      <c r="B5" s="289"/>
      <c r="C5" s="289"/>
      <c r="D5" s="289"/>
      <c r="E5" s="289"/>
      <c r="F5" s="289"/>
      <c r="G5" s="289"/>
      <c r="H5" s="289"/>
      <c r="I5" s="289"/>
      <c r="J5" s="289"/>
    </row>
    <row r="6" spans="1:10">
      <c r="D6" s="548" t="s">
        <v>2</v>
      </c>
      <c r="E6" s="548"/>
      <c r="F6" s="548"/>
    </row>
    <row r="7" spans="1:10">
      <c r="A7" s="291" t="s">
        <v>5</v>
      </c>
      <c r="B7" s="291" t="s">
        <v>347</v>
      </c>
      <c r="C7" s="291" t="s">
        <v>346</v>
      </c>
      <c r="D7" s="291" t="s">
        <v>11</v>
      </c>
      <c r="E7" s="291" t="s">
        <v>12</v>
      </c>
      <c r="F7" s="291" t="s">
        <v>13</v>
      </c>
      <c r="G7" s="291" t="s">
        <v>345</v>
      </c>
      <c r="H7" s="290" t="s">
        <v>344</v>
      </c>
      <c r="I7" s="290" t="s">
        <v>18</v>
      </c>
      <c r="J7" s="290" t="s">
        <v>343</v>
      </c>
    </row>
    <row r="8" spans="1:10">
      <c r="A8" s="288"/>
      <c r="D8" s="276"/>
      <c r="E8" s="276"/>
      <c r="F8" s="276"/>
    </row>
    <row r="9" spans="1:10" s="288" customFormat="1">
      <c r="A9" s="288" t="s">
        <v>342</v>
      </c>
      <c r="D9" s="289"/>
      <c r="E9" s="289"/>
      <c r="F9" s="289"/>
    </row>
    <row r="10" spans="1:10" ht="31.5">
      <c r="A10" s="182" t="s">
        <v>341</v>
      </c>
      <c r="B10" s="182" t="s">
        <v>340</v>
      </c>
      <c r="C10" s="276" t="s">
        <v>289</v>
      </c>
      <c r="D10" s="276">
        <v>28</v>
      </c>
      <c r="E10" s="276">
        <v>11</v>
      </c>
      <c r="F10" s="276">
        <v>2003</v>
      </c>
      <c r="G10" s="276" t="s">
        <v>269</v>
      </c>
      <c r="H10" s="106">
        <v>15000</v>
      </c>
      <c r="I10" s="108" t="s">
        <v>339</v>
      </c>
      <c r="J10" s="182">
        <v>3314</v>
      </c>
    </row>
    <row r="11" spans="1:10">
      <c r="A11" s="182" t="s">
        <v>338</v>
      </c>
      <c r="B11" s="182" t="s">
        <v>320</v>
      </c>
      <c r="C11" s="276" t="s">
        <v>308</v>
      </c>
      <c r="D11" s="276">
        <v>27</v>
      </c>
      <c r="E11" s="276">
        <v>11</v>
      </c>
      <c r="F11" s="276">
        <v>2003</v>
      </c>
      <c r="G11" s="276" t="s">
        <v>269</v>
      </c>
      <c r="H11" s="106">
        <v>7000</v>
      </c>
      <c r="I11" s="106"/>
      <c r="J11" s="182">
        <v>3418</v>
      </c>
    </row>
    <row r="12" spans="1:10">
      <c r="C12" s="276"/>
      <c r="D12" s="276"/>
      <c r="E12" s="276"/>
      <c r="F12" s="276"/>
      <c r="G12" s="276"/>
      <c r="H12" s="106"/>
      <c r="I12" s="106"/>
    </row>
    <row r="13" spans="1:10">
      <c r="A13" s="288" t="s">
        <v>337</v>
      </c>
      <c r="D13" s="276"/>
      <c r="E13" s="276"/>
      <c r="F13" s="276"/>
    </row>
    <row r="14" spans="1:10">
      <c r="A14" s="182" t="s">
        <v>336</v>
      </c>
      <c r="B14" s="182" t="s">
        <v>335</v>
      </c>
      <c r="C14" s="276" t="s">
        <v>289</v>
      </c>
      <c r="D14" s="276">
        <v>26</v>
      </c>
      <c r="E14" s="276">
        <v>11</v>
      </c>
      <c r="F14" s="276">
        <v>2003</v>
      </c>
      <c r="G14" s="276" t="s">
        <v>269</v>
      </c>
      <c r="H14" s="106">
        <v>13000</v>
      </c>
      <c r="I14" s="106" t="s">
        <v>334</v>
      </c>
      <c r="J14" s="182">
        <v>3320</v>
      </c>
    </row>
    <row r="15" spans="1:10">
      <c r="A15" s="182" t="s">
        <v>333</v>
      </c>
      <c r="B15" s="182" t="s">
        <v>332</v>
      </c>
      <c r="C15" s="276" t="s">
        <v>285</v>
      </c>
      <c r="D15" s="276">
        <v>28</v>
      </c>
      <c r="E15" s="276">
        <v>11</v>
      </c>
      <c r="F15" s="276">
        <v>2003</v>
      </c>
      <c r="G15" s="276" t="s">
        <v>269</v>
      </c>
      <c r="H15" s="106">
        <v>25000</v>
      </c>
      <c r="I15" s="107" t="s">
        <v>268</v>
      </c>
      <c r="J15" s="182">
        <v>3314</v>
      </c>
    </row>
    <row r="16" spans="1:10" ht="31.5">
      <c r="A16" s="182" t="s">
        <v>331</v>
      </c>
      <c r="B16" s="182" t="s">
        <v>271</v>
      </c>
      <c r="C16" s="276" t="s">
        <v>285</v>
      </c>
      <c r="D16" s="276">
        <v>28</v>
      </c>
      <c r="E16" s="276">
        <v>11</v>
      </c>
      <c r="F16" s="276">
        <v>2003</v>
      </c>
      <c r="G16" s="276" t="s">
        <v>269</v>
      </c>
      <c r="H16" s="106">
        <v>7000</v>
      </c>
      <c r="I16" s="107" t="s">
        <v>330</v>
      </c>
      <c r="J16" s="182">
        <v>3422</v>
      </c>
    </row>
    <row r="17" spans="1:10">
      <c r="C17" s="276"/>
      <c r="D17" s="276"/>
      <c r="E17" s="276"/>
      <c r="F17" s="276"/>
      <c r="G17" s="276"/>
      <c r="H17" s="106"/>
      <c r="I17" s="106"/>
    </row>
    <row r="18" spans="1:10" s="288" customFormat="1">
      <c r="A18" s="288" t="s">
        <v>329</v>
      </c>
      <c r="D18" s="289"/>
      <c r="E18" s="289"/>
      <c r="F18" s="289"/>
    </row>
    <row r="19" spans="1:10">
      <c r="A19" s="182" t="s">
        <v>328</v>
      </c>
      <c r="B19" s="182" t="s">
        <v>327</v>
      </c>
      <c r="C19" s="276" t="s">
        <v>285</v>
      </c>
      <c r="D19" s="276">
        <v>28</v>
      </c>
      <c r="E19" s="276">
        <v>11</v>
      </c>
      <c r="F19" s="276">
        <v>2003</v>
      </c>
      <c r="G19" s="276" t="s">
        <v>269</v>
      </c>
      <c r="H19" s="106">
        <v>35525</v>
      </c>
      <c r="I19" s="107" t="s">
        <v>326</v>
      </c>
      <c r="J19" s="182">
        <v>3314</v>
      </c>
    </row>
    <row r="20" spans="1:10">
      <c r="A20" s="182" t="s">
        <v>325</v>
      </c>
      <c r="B20" s="182" t="s">
        <v>324</v>
      </c>
      <c r="C20" s="276" t="s">
        <v>289</v>
      </c>
      <c r="D20" s="276">
        <v>28</v>
      </c>
      <c r="E20" s="276">
        <v>11</v>
      </c>
      <c r="F20" s="276">
        <v>2003</v>
      </c>
      <c r="G20" s="276" t="s">
        <v>269</v>
      </c>
      <c r="H20" s="106">
        <v>20500</v>
      </c>
      <c r="I20" s="106"/>
      <c r="J20" s="182">
        <v>3422</v>
      </c>
    </row>
    <row r="21" spans="1:10">
      <c r="D21" s="276"/>
      <c r="E21" s="276"/>
      <c r="F21" s="276"/>
      <c r="H21" s="106"/>
      <c r="I21" s="106"/>
    </row>
    <row r="22" spans="1:10" s="288" customFormat="1">
      <c r="A22" s="288" t="s">
        <v>323</v>
      </c>
      <c r="D22" s="289"/>
      <c r="E22" s="289"/>
      <c r="F22" s="289"/>
    </row>
    <row r="23" spans="1:10">
      <c r="A23" s="182" t="s">
        <v>319</v>
      </c>
      <c r="B23" s="182" t="s">
        <v>295</v>
      </c>
      <c r="C23" s="276" t="s">
        <v>285</v>
      </c>
      <c r="D23" s="276">
        <v>27</v>
      </c>
      <c r="E23" s="276">
        <v>11</v>
      </c>
      <c r="F23" s="276">
        <v>2003</v>
      </c>
      <c r="G23" s="276" t="s">
        <v>269</v>
      </c>
      <c r="H23" s="106">
        <v>6000</v>
      </c>
      <c r="I23" s="106"/>
      <c r="J23" s="182">
        <v>3418</v>
      </c>
    </row>
    <row r="24" spans="1:10">
      <c r="D24" s="276"/>
      <c r="E24" s="276"/>
      <c r="F24" s="276"/>
      <c r="H24" s="106"/>
      <c r="I24" s="106"/>
    </row>
    <row r="25" spans="1:10">
      <c r="A25" s="288" t="s">
        <v>322</v>
      </c>
      <c r="D25" s="276"/>
      <c r="E25" s="276"/>
      <c r="F25" s="276"/>
    </row>
    <row r="26" spans="1:10">
      <c r="A26" s="182" t="s">
        <v>321</v>
      </c>
      <c r="B26" s="182" t="s">
        <v>295</v>
      </c>
      <c r="C26" s="276" t="s">
        <v>285</v>
      </c>
      <c r="D26" s="276">
        <v>26</v>
      </c>
      <c r="E26" s="276">
        <v>11</v>
      </c>
      <c r="F26" s="276">
        <v>2003</v>
      </c>
      <c r="G26" s="276" t="s">
        <v>269</v>
      </c>
      <c r="H26" s="106">
        <v>6000</v>
      </c>
      <c r="I26" s="106"/>
      <c r="J26" s="182">
        <v>3320</v>
      </c>
    </row>
    <row r="27" spans="1:10">
      <c r="A27" s="182" t="s">
        <v>319</v>
      </c>
      <c r="B27" s="182" t="s">
        <v>320</v>
      </c>
      <c r="C27" s="276" t="s">
        <v>270</v>
      </c>
      <c r="D27" s="276">
        <v>26</v>
      </c>
      <c r="E27" s="276">
        <v>11</v>
      </c>
      <c r="F27" s="276">
        <v>2003</v>
      </c>
      <c r="G27" s="276" t="s">
        <v>269</v>
      </c>
      <c r="H27" s="106">
        <v>6000</v>
      </c>
      <c r="I27" s="106"/>
      <c r="J27" s="182">
        <v>3320</v>
      </c>
    </row>
    <row r="28" spans="1:10">
      <c r="C28" s="276"/>
      <c r="D28" s="276"/>
      <c r="E28" s="276"/>
      <c r="F28" s="276"/>
      <c r="G28" s="276"/>
      <c r="H28" s="106"/>
      <c r="I28" s="106"/>
    </row>
    <row r="29" spans="1:10" s="288" customFormat="1">
      <c r="A29" s="288" t="s">
        <v>306</v>
      </c>
      <c r="D29" s="289"/>
      <c r="E29" s="289"/>
      <c r="F29" s="289"/>
    </row>
    <row r="30" spans="1:10">
      <c r="A30" s="182" t="s">
        <v>319</v>
      </c>
      <c r="B30" s="182" t="s">
        <v>318</v>
      </c>
      <c r="C30" s="276" t="s">
        <v>317</v>
      </c>
      <c r="D30" s="276">
        <v>27</v>
      </c>
      <c r="E30" s="276">
        <v>11</v>
      </c>
      <c r="F30" s="276">
        <v>2003</v>
      </c>
      <c r="G30" s="276" t="s">
        <v>269</v>
      </c>
      <c r="H30" s="106">
        <v>25500</v>
      </c>
      <c r="I30" s="106" t="s">
        <v>316</v>
      </c>
      <c r="J30" s="182">
        <v>3321</v>
      </c>
    </row>
    <row r="31" spans="1:10">
      <c r="A31" s="182" t="s">
        <v>315</v>
      </c>
      <c r="B31" s="182" t="s">
        <v>314</v>
      </c>
      <c r="C31" s="276" t="s">
        <v>285</v>
      </c>
      <c r="D31" s="276">
        <v>27</v>
      </c>
      <c r="E31" s="276">
        <v>11</v>
      </c>
      <c r="F31" s="276">
        <v>2003</v>
      </c>
      <c r="G31" s="276" t="s">
        <v>269</v>
      </c>
      <c r="H31" s="106">
        <v>25500</v>
      </c>
      <c r="I31" s="106" t="s">
        <v>313</v>
      </c>
      <c r="J31" s="182">
        <v>3321</v>
      </c>
    </row>
    <row r="32" spans="1:10" ht="31.5">
      <c r="A32" s="182" t="s">
        <v>312</v>
      </c>
      <c r="B32" s="182" t="s">
        <v>311</v>
      </c>
      <c r="C32" s="276" t="s">
        <v>285</v>
      </c>
      <c r="D32" s="276">
        <v>27</v>
      </c>
      <c r="E32" s="276">
        <v>11</v>
      </c>
      <c r="F32" s="276">
        <v>2003</v>
      </c>
      <c r="G32" s="276" t="s">
        <v>269</v>
      </c>
      <c r="H32" s="106">
        <v>7000</v>
      </c>
      <c r="I32" s="107" t="s">
        <v>297</v>
      </c>
      <c r="J32" s="182">
        <v>3321</v>
      </c>
    </row>
    <row r="33" spans="1:10">
      <c r="A33" s="221" t="s">
        <v>310</v>
      </c>
      <c r="B33" s="221" t="s">
        <v>309</v>
      </c>
      <c r="C33" s="276" t="s">
        <v>308</v>
      </c>
      <c r="D33" s="276">
        <v>27</v>
      </c>
      <c r="E33" s="276">
        <v>11</v>
      </c>
      <c r="F33" s="276">
        <v>2003</v>
      </c>
      <c r="G33" s="276" t="s">
        <v>269</v>
      </c>
      <c r="H33" s="106">
        <v>45500</v>
      </c>
      <c r="I33" s="106" t="s">
        <v>307</v>
      </c>
      <c r="J33" s="182">
        <v>3418</v>
      </c>
    </row>
    <row r="34" spans="1:10">
      <c r="C34" s="276"/>
      <c r="D34" s="276"/>
      <c r="E34" s="276"/>
      <c r="F34" s="276"/>
      <c r="G34" s="276"/>
      <c r="H34" s="106"/>
      <c r="I34" s="106"/>
    </row>
    <row r="35" spans="1:10" s="288" customFormat="1">
      <c r="A35" s="288" t="s">
        <v>306</v>
      </c>
      <c r="D35" s="289"/>
      <c r="E35" s="289"/>
      <c r="F35" s="289"/>
    </row>
    <row r="36" spans="1:10">
      <c r="A36" s="182" t="s">
        <v>305</v>
      </c>
      <c r="B36" s="182" t="s">
        <v>304</v>
      </c>
      <c r="C36" s="276" t="s">
        <v>289</v>
      </c>
      <c r="D36" s="276">
        <v>26</v>
      </c>
      <c r="E36" s="276">
        <v>11</v>
      </c>
      <c r="F36" s="276">
        <v>2003</v>
      </c>
      <c r="G36" s="276" t="s">
        <v>269</v>
      </c>
      <c r="H36" s="106">
        <v>35500</v>
      </c>
      <c r="I36" s="106"/>
      <c r="J36" s="182">
        <v>3320</v>
      </c>
    </row>
    <row r="37" spans="1:10">
      <c r="A37" s="182" t="s">
        <v>303</v>
      </c>
      <c r="B37" s="182" t="s">
        <v>302</v>
      </c>
      <c r="C37" s="276" t="s">
        <v>289</v>
      </c>
      <c r="D37" s="276">
        <v>28</v>
      </c>
      <c r="E37" s="276">
        <v>11</v>
      </c>
      <c r="F37" s="276">
        <v>2003</v>
      </c>
      <c r="G37" s="276" t="s">
        <v>269</v>
      </c>
      <c r="H37" s="106">
        <v>32500</v>
      </c>
      <c r="I37" s="106" t="s">
        <v>301</v>
      </c>
      <c r="J37" s="182">
        <v>3422</v>
      </c>
    </row>
    <row r="38" spans="1:10">
      <c r="C38" s="276"/>
      <c r="D38" s="276"/>
      <c r="E38" s="276"/>
      <c r="F38" s="276"/>
      <c r="G38" s="276"/>
      <c r="H38" s="106"/>
      <c r="I38" s="106"/>
    </row>
    <row r="39" spans="1:10" s="288" customFormat="1">
      <c r="A39" s="288" t="s">
        <v>300</v>
      </c>
      <c r="D39" s="289"/>
      <c r="E39" s="289"/>
      <c r="F39" s="289"/>
    </row>
    <row r="40" spans="1:10" ht="31.5">
      <c r="A40" s="182" t="s">
        <v>299</v>
      </c>
      <c r="B40" s="182" t="s">
        <v>298</v>
      </c>
      <c r="C40" s="276" t="s">
        <v>285</v>
      </c>
      <c r="D40" s="276">
        <v>27</v>
      </c>
      <c r="E40" s="276">
        <v>11</v>
      </c>
      <c r="F40" s="276">
        <v>2003</v>
      </c>
      <c r="G40" s="276" t="s">
        <v>269</v>
      </c>
      <c r="H40" s="106">
        <v>7000</v>
      </c>
      <c r="I40" s="108" t="s">
        <v>297</v>
      </c>
      <c r="J40" s="182">
        <v>3321</v>
      </c>
    </row>
    <row r="41" spans="1:10">
      <c r="A41" s="182" t="s">
        <v>296</v>
      </c>
      <c r="B41" s="182" t="s">
        <v>295</v>
      </c>
      <c r="C41" s="276" t="s">
        <v>285</v>
      </c>
      <c r="D41" s="276">
        <v>27</v>
      </c>
      <c r="E41" s="276">
        <v>11</v>
      </c>
      <c r="F41" s="276">
        <v>2003</v>
      </c>
      <c r="G41" s="276" t="s">
        <v>269</v>
      </c>
      <c r="H41" s="106">
        <v>6600</v>
      </c>
      <c r="I41" s="106" t="s">
        <v>294</v>
      </c>
      <c r="J41" s="182">
        <v>3418</v>
      </c>
    </row>
    <row r="42" spans="1:10">
      <c r="C42" s="276"/>
      <c r="D42" s="276"/>
      <c r="E42" s="276"/>
      <c r="F42" s="276"/>
      <c r="G42" s="276"/>
      <c r="H42" s="106"/>
      <c r="I42" s="106"/>
    </row>
    <row r="43" spans="1:10" s="288" customFormat="1">
      <c r="A43" s="288" t="s">
        <v>293</v>
      </c>
      <c r="D43" s="289"/>
      <c r="E43" s="289"/>
      <c r="F43" s="289"/>
    </row>
    <row r="44" spans="1:10">
      <c r="A44" s="182" t="s">
        <v>292</v>
      </c>
      <c r="B44" s="182" t="s">
        <v>290</v>
      </c>
      <c r="C44" s="276" t="s">
        <v>285</v>
      </c>
      <c r="D44" s="276">
        <v>26</v>
      </c>
      <c r="E44" s="276">
        <v>11</v>
      </c>
      <c r="F44" s="276">
        <v>2003</v>
      </c>
      <c r="G44" s="276" t="s">
        <v>269</v>
      </c>
      <c r="H44" s="106">
        <v>6000</v>
      </c>
      <c r="I44" s="107" t="s">
        <v>268</v>
      </c>
      <c r="J44" s="182">
        <v>3320</v>
      </c>
    </row>
    <row r="45" spans="1:10">
      <c r="A45" s="182" t="s">
        <v>291</v>
      </c>
      <c r="B45" s="182" t="s">
        <v>290</v>
      </c>
      <c r="C45" s="276" t="s">
        <v>289</v>
      </c>
      <c r="D45" s="276">
        <v>28</v>
      </c>
      <c r="E45" s="276">
        <v>11</v>
      </c>
      <c r="F45" s="276">
        <v>2003</v>
      </c>
      <c r="G45" s="276" t="s">
        <v>269</v>
      </c>
      <c r="H45" s="106">
        <v>8500</v>
      </c>
      <c r="I45" s="106"/>
      <c r="J45" s="182">
        <v>3422</v>
      </c>
    </row>
    <row r="46" spans="1:10">
      <c r="C46" s="276"/>
      <c r="D46" s="276"/>
      <c r="E46" s="276"/>
      <c r="F46" s="276"/>
      <c r="G46" s="276"/>
    </row>
    <row r="47" spans="1:10" s="288" customFormat="1">
      <c r="A47" s="288" t="s">
        <v>288</v>
      </c>
      <c r="D47" s="289"/>
      <c r="E47" s="289"/>
      <c r="F47" s="289"/>
    </row>
    <row r="48" spans="1:10">
      <c r="A48" s="182" t="s">
        <v>287</v>
      </c>
      <c r="B48" s="182" t="s">
        <v>286</v>
      </c>
      <c r="C48" s="276" t="s">
        <v>285</v>
      </c>
      <c r="D48" s="276">
        <v>28</v>
      </c>
      <c r="E48" s="276">
        <v>11</v>
      </c>
      <c r="F48" s="276">
        <v>2003</v>
      </c>
      <c r="G48" s="276" t="s">
        <v>269</v>
      </c>
      <c r="H48" s="106">
        <v>12500</v>
      </c>
      <c r="I48" s="106"/>
      <c r="J48" s="182">
        <v>3422</v>
      </c>
    </row>
    <row r="49" spans="1:10">
      <c r="D49" s="276"/>
      <c r="E49" s="276"/>
      <c r="F49" s="276"/>
    </row>
    <row r="50" spans="1:10">
      <c r="A50" s="288" t="s">
        <v>284</v>
      </c>
      <c r="D50" s="276"/>
      <c r="E50" s="276"/>
      <c r="F50" s="276"/>
    </row>
    <row r="51" spans="1:10">
      <c r="A51" s="182" t="s">
        <v>283</v>
      </c>
      <c r="B51" s="182" t="s">
        <v>282</v>
      </c>
      <c r="C51" s="276" t="s">
        <v>279</v>
      </c>
      <c r="D51" s="276">
        <v>27</v>
      </c>
      <c r="E51" s="276">
        <v>11</v>
      </c>
      <c r="F51" s="276">
        <v>2003</v>
      </c>
      <c r="G51" s="276" t="s">
        <v>269</v>
      </c>
      <c r="H51" s="286">
        <v>18000</v>
      </c>
      <c r="I51" s="286"/>
      <c r="J51" s="182">
        <v>3321</v>
      </c>
    </row>
    <row r="52" spans="1:10">
      <c r="A52" s="182" t="s">
        <v>281</v>
      </c>
      <c r="B52" s="182" t="s">
        <v>280</v>
      </c>
      <c r="C52" s="276" t="s">
        <v>279</v>
      </c>
      <c r="D52" s="276">
        <v>26</v>
      </c>
      <c r="E52" s="276">
        <v>11</v>
      </c>
      <c r="F52" s="276">
        <v>2003</v>
      </c>
      <c r="G52" s="276" t="s">
        <v>269</v>
      </c>
      <c r="H52" s="286">
        <v>85000</v>
      </c>
      <c r="I52" s="286" t="s">
        <v>278</v>
      </c>
      <c r="J52" s="182">
        <v>3419</v>
      </c>
    </row>
    <row r="53" spans="1:10">
      <c r="C53" s="276"/>
      <c r="D53" s="276"/>
      <c r="E53" s="276"/>
      <c r="F53" s="276"/>
      <c r="G53" s="276"/>
    </row>
    <row r="54" spans="1:10" s="288" customFormat="1">
      <c r="A54" s="288" t="s">
        <v>277</v>
      </c>
      <c r="C54" s="289"/>
      <c r="D54" s="289"/>
      <c r="E54" s="289"/>
      <c r="F54" s="289"/>
      <c r="G54" s="289"/>
    </row>
    <row r="55" spans="1:10">
      <c r="A55" s="182" t="s">
        <v>276</v>
      </c>
      <c r="B55" s="182" t="s">
        <v>275</v>
      </c>
      <c r="C55" s="276" t="s">
        <v>274</v>
      </c>
      <c r="D55" s="276">
        <v>27</v>
      </c>
      <c r="E55" s="276">
        <v>11</v>
      </c>
      <c r="F55" s="276">
        <v>2003</v>
      </c>
      <c r="G55" s="276" t="s">
        <v>269</v>
      </c>
      <c r="H55" s="286">
        <v>7000</v>
      </c>
      <c r="I55" s="287" t="s">
        <v>273</v>
      </c>
      <c r="J55" s="182">
        <v>3418</v>
      </c>
    </row>
    <row r="56" spans="1:10">
      <c r="A56" s="182" t="s">
        <v>272</v>
      </c>
      <c r="B56" s="182" t="s">
        <v>271</v>
      </c>
      <c r="C56" s="276" t="s">
        <v>270</v>
      </c>
      <c r="D56" s="276">
        <v>27</v>
      </c>
      <c r="E56" s="276">
        <v>11</v>
      </c>
      <c r="F56" s="276">
        <v>2003</v>
      </c>
      <c r="G56" s="276" t="s">
        <v>269</v>
      </c>
      <c r="H56" s="286">
        <v>5000</v>
      </c>
      <c r="I56" s="285" t="s">
        <v>268</v>
      </c>
      <c r="J56" s="182">
        <v>3418</v>
      </c>
    </row>
    <row r="57" spans="1:10">
      <c r="C57" s="276"/>
      <c r="D57" s="276"/>
      <c r="E57" s="276"/>
      <c r="F57" s="276"/>
      <c r="G57" s="276"/>
      <c r="H57" s="286"/>
      <c r="I57" s="285"/>
    </row>
    <row r="58" spans="1:10" s="281" customFormat="1">
      <c r="A58" s="281" t="s">
        <v>2521</v>
      </c>
      <c r="C58" s="284"/>
      <c r="D58" s="284"/>
      <c r="E58" s="284"/>
      <c r="F58" s="284"/>
      <c r="G58" s="284"/>
      <c r="H58" s="283">
        <v>37296</v>
      </c>
      <c r="I58" s="282"/>
    </row>
    <row r="59" spans="1:10">
      <c r="D59" s="276"/>
      <c r="E59" s="276"/>
      <c r="F59" s="276"/>
    </row>
    <row r="60" spans="1:10" ht="16.5" thickBot="1">
      <c r="H60" s="280">
        <f>SUM(H8:H59)</f>
        <v>505421</v>
      </c>
      <c r="I60" s="279"/>
    </row>
    <row r="61" spans="1:10" ht="16.5" thickTop="1"/>
    <row r="62" spans="1:10">
      <c r="A62" s="278" t="s">
        <v>267</v>
      </c>
    </row>
    <row r="63" spans="1:10">
      <c r="A63" s="182" t="s">
        <v>266</v>
      </c>
    </row>
  </sheetData>
  <sheetProtection sort="0" autoFilter="0"/>
  <mergeCells count="4">
    <mergeCell ref="D6:F6"/>
    <mergeCell ref="A1:J2"/>
    <mergeCell ref="A3:J3"/>
    <mergeCell ref="A4:J4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90" orientation="landscape" r:id="rId1"/>
  <headerFooter alignWithMargins="0">
    <oddFooter>Página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13</vt:i4>
      </vt:variant>
    </vt:vector>
  </HeadingPairs>
  <TitlesOfParts>
    <vt:vector size="27" baseType="lpstr">
      <vt:lpstr>Equipos de Producción</vt:lpstr>
      <vt:lpstr>Equipos de Transporte</vt:lpstr>
      <vt:lpstr>Eq. Computos</vt:lpstr>
      <vt:lpstr>Equipos Médicos</vt:lpstr>
      <vt:lpstr>Equipos de Comunicaciones</vt:lpstr>
      <vt:lpstr>Eq. y Muebles de Ofic.</vt:lpstr>
      <vt:lpstr>Equipos Varios</vt:lpstr>
      <vt:lpstr>Edificaciones</vt:lpstr>
      <vt:lpstr>Obras de Arte</vt:lpstr>
      <vt:lpstr>Resumén</vt:lpstr>
      <vt:lpstr>Hoja2</vt:lpstr>
      <vt:lpstr>Determinacion de Costos</vt:lpstr>
      <vt:lpstr>Determinacion de Costos (2)</vt:lpstr>
      <vt:lpstr>Determinacion de Costos (3)</vt:lpstr>
      <vt:lpstr>Edificaciones!Área_de_impresión</vt:lpstr>
      <vt:lpstr>'Eq. Computos'!Área_de_impresión</vt:lpstr>
      <vt:lpstr>'Eq. y Muebles de Ofic.'!Área_de_impresión</vt:lpstr>
      <vt:lpstr>'Equipos de Comunicaciones'!Área_de_impresión</vt:lpstr>
      <vt:lpstr>'Equipos de Producción'!Área_de_impresión</vt:lpstr>
      <vt:lpstr>'Equipos de Transporte'!Área_de_impresión</vt:lpstr>
      <vt:lpstr>'Equipos Médicos'!Área_de_impresión</vt:lpstr>
      <vt:lpstr>'Equipos Varios'!Área_de_impresión</vt:lpstr>
      <vt:lpstr>'Obras de Arte'!Área_de_impresión</vt:lpstr>
      <vt:lpstr>'Eq. Computos'!Títulos_a_imprimir</vt:lpstr>
      <vt:lpstr>'Eq. y Muebles de Ofic.'!Títulos_a_imprimir</vt:lpstr>
      <vt:lpstr>'Equipos Médicos'!Títulos_a_imprimir</vt:lpstr>
      <vt:lpstr>'Obras de Arte'!Títulos_a_imprimir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miguel.rivera</dc:creator>
  <cp:lastModifiedBy>miguel.rivera</cp:lastModifiedBy>
  <cp:lastPrinted>2014-07-11T14:20:48Z</cp:lastPrinted>
  <dcterms:created xsi:type="dcterms:W3CDTF">2012-02-15T16:55:59Z</dcterms:created>
  <dcterms:modified xsi:type="dcterms:W3CDTF">2014-07-11T19:10:20Z</dcterms:modified>
</cp:coreProperties>
</file>