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uel.Rivera\Desktop\inventario\invdf\2016\"/>
    </mc:Choice>
  </mc:AlternateContent>
  <bookViews>
    <workbookView xWindow="720" yWindow="2325" windowWidth="18315" windowHeight="11505" tabRatio="774"/>
  </bookViews>
  <sheets>
    <sheet name="Equipos de Producción" sheetId="3" r:id="rId1"/>
    <sheet name="Equipos Educativos" sheetId="6" r:id="rId2"/>
    <sheet name="Equipos de Transporte" sheetId="4" r:id="rId3"/>
    <sheet name="Eq. Computos " sheetId="1" r:id="rId4"/>
    <sheet name="Equipos Médicos" sheetId="5" r:id="rId5"/>
    <sheet name="Equipos de Comunicaciones" sheetId="7" r:id="rId6"/>
    <sheet name="Eq. y Muebles de Ofic." sheetId="2" r:id="rId7"/>
    <sheet name="Electrodomésticos" sheetId="12" r:id="rId8"/>
    <sheet name="Equipos Varios" sheetId="8" r:id="rId9"/>
    <sheet name="Edificaciones" sheetId="9" r:id="rId10"/>
    <sheet name="Obras de Arte" sheetId="11" r:id="rId11"/>
    <sheet name="Resumén" sheetId="10" r:id="rId12"/>
  </sheets>
  <definedNames>
    <definedName name="_xlnm._FilterDatabase" localSheetId="6" hidden="1">'Eq. y Muebles de Ofic.'!$A$6:$Z$769</definedName>
    <definedName name="_xlnm._FilterDatabase" localSheetId="0" hidden="1">'Equipos de Producción'!$A$6:$U$31</definedName>
    <definedName name="_xlnm.Print_Area" localSheetId="9">Edificaciones!$A$1:$R$7</definedName>
    <definedName name="_xlnm.Print_Area" localSheetId="7">Electrodomésticos!$A$1:$U$17</definedName>
    <definedName name="_xlnm.Print_Area" localSheetId="3">'Eq. Computos '!$A$1:$Y$595</definedName>
    <definedName name="_xlnm.Print_Area" localSheetId="6">'Eq. y Muebles de Ofic.'!$A$1:$V$776</definedName>
    <definedName name="_xlnm.Print_Area" localSheetId="5">'Equipos de Comunicaciones'!$A$1:$S$33</definedName>
    <definedName name="_xlnm.Print_Area" localSheetId="0">'Equipos de Producción'!$A$1:$U$48</definedName>
    <definedName name="_xlnm.Print_Area" localSheetId="2">'Equipos de Transporte'!$A$1:$V$16</definedName>
    <definedName name="_xlnm.Print_Area" localSheetId="1">'Equipos Educativos'!$A$1:$U$12</definedName>
    <definedName name="_xlnm.Print_Area" localSheetId="4">'Equipos Médicos'!$A$1:$T$93</definedName>
    <definedName name="_xlnm.Print_Area" localSheetId="8">'Equipos Varios'!$A$1:$U$16</definedName>
    <definedName name="_xlnm.Print_Area" localSheetId="10">'Obras de Arte'!$A$1:$J$63</definedName>
    <definedName name="_xlnm.Print_Titles" localSheetId="3">'Eq. Computos '!$6:$6</definedName>
    <definedName name="_xlnm.Print_Titles" localSheetId="6">'Eq. y Muebles de Ofic.'!$6:$6</definedName>
    <definedName name="_xlnm.Print_Titles" localSheetId="4">'Equipos Médicos'!$7:$7</definedName>
    <definedName name="_xlnm.Print_Titles" localSheetId="10">'Obras de Arte'!$7:$7</definedName>
  </definedNames>
  <calcPr calcId="152511"/>
</workbook>
</file>

<file path=xl/calcChain.xml><?xml version="1.0" encoding="utf-8"?>
<calcChain xmlns="http://schemas.openxmlformats.org/spreadsheetml/2006/main">
  <c r="G14" i="10" l="1"/>
  <c r="F14" i="10"/>
  <c r="E14" i="10"/>
  <c r="D14" i="10"/>
  <c r="C14" i="10"/>
  <c r="B14" i="10"/>
  <c r="N14" i="12"/>
  <c r="R14" i="12"/>
  <c r="S14" i="12"/>
  <c r="T14" i="12"/>
  <c r="U14" i="12"/>
  <c r="S8" i="12"/>
  <c r="Q8" i="12"/>
  <c r="S30" i="7"/>
  <c r="R30" i="7"/>
  <c r="Q30" i="7"/>
  <c r="T345" i="1"/>
  <c r="T343" i="1"/>
  <c r="T342" i="1"/>
  <c r="T341" i="1"/>
  <c r="T340" i="1"/>
  <c r="T339" i="1"/>
  <c r="T338" i="1"/>
  <c r="T337" i="1"/>
  <c r="T336" i="1"/>
  <c r="T335" i="1"/>
  <c r="T334" i="1"/>
  <c r="T333" i="1"/>
  <c r="T332" i="1"/>
  <c r="T331" i="1"/>
  <c r="T330" i="1"/>
  <c r="T329" i="1"/>
  <c r="T328" i="1"/>
  <c r="T327" i="1"/>
  <c r="T326" i="1"/>
  <c r="T325" i="1"/>
  <c r="T324" i="1"/>
  <c r="T323" i="1"/>
  <c r="T322" i="1"/>
  <c r="T321" i="1"/>
  <c r="T320" i="1"/>
  <c r="T314" i="1"/>
  <c r="T312" i="1"/>
  <c r="T311" i="1"/>
  <c r="T310" i="1"/>
  <c r="T308" i="1"/>
  <c r="T307" i="1"/>
  <c r="T306" i="1"/>
  <c r="T305" i="1"/>
  <c r="T304" i="1"/>
  <c r="T303" i="1"/>
  <c r="T302" i="1"/>
  <c r="T301" i="1"/>
  <c r="T300" i="1"/>
  <c r="T299" i="1"/>
  <c r="T298" i="1"/>
  <c r="T297" i="1"/>
  <c r="T296" i="1"/>
  <c r="T295" i="1"/>
  <c r="T294" i="1"/>
  <c r="T293" i="1"/>
  <c r="T292" i="1"/>
  <c r="T291" i="1"/>
  <c r="T290" i="1"/>
  <c r="T289" i="1"/>
  <c r="T288" i="1"/>
  <c r="T285" i="1"/>
  <c r="T284" i="1"/>
  <c r="T283" i="1"/>
  <c r="T282" i="1"/>
  <c r="T281" i="1"/>
  <c r="T280" i="1"/>
  <c r="T279" i="1"/>
  <c r="T278" i="1"/>
  <c r="T277" i="1"/>
  <c r="T286" i="1"/>
  <c r="T15" i="4"/>
  <c r="V15" i="4"/>
  <c r="S15" i="4"/>
  <c r="U7" i="4"/>
  <c r="U8" i="4"/>
  <c r="U9" i="4"/>
  <c r="U10" i="4"/>
  <c r="U11" i="4"/>
  <c r="U12" i="4"/>
  <c r="X9" i="12"/>
  <c r="Q9" i="12"/>
  <c r="X8" i="12"/>
  <c r="T7" i="12"/>
  <c r="S7" i="12"/>
  <c r="R7" i="12"/>
  <c r="Z5" i="12"/>
  <c r="Z8" i="12" s="1"/>
  <c r="A4" i="12"/>
  <c r="U15" i="4" l="1"/>
  <c r="Z9" i="12"/>
  <c r="S9" i="12" s="1"/>
  <c r="U9" i="12" s="1"/>
  <c r="U8" i="12"/>
  <c r="T8" i="12"/>
  <c r="H60" i="11"/>
  <c r="T9" i="12" l="1"/>
  <c r="V12" i="4"/>
  <c r="V11" i="4"/>
  <c r="R1006" i="2" l="1"/>
  <c r="N1006" i="2"/>
  <c r="N1002" i="2" l="1"/>
  <c r="R1001" i="2"/>
  <c r="R1002" i="2" s="1"/>
  <c r="P999" i="2" l="1"/>
  <c r="O999" i="2"/>
  <c r="N999" i="2"/>
  <c r="R998" i="2"/>
  <c r="R997" i="2"/>
  <c r="R996" i="2"/>
  <c r="R995" i="2"/>
  <c r="R994" i="2"/>
  <c r="R999" i="2" l="1"/>
  <c r="N992" i="2"/>
  <c r="R991" i="2"/>
  <c r="R992" i="2" s="1"/>
  <c r="T446" i="1"/>
  <c r="R29" i="7" l="1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8" i="7"/>
  <c r="S8" i="5" l="1"/>
  <c r="G28" i="5"/>
  <c r="N989" i="2"/>
  <c r="N965" i="2"/>
  <c r="R979" i="2"/>
  <c r="R988" i="2"/>
  <c r="R987" i="2"/>
  <c r="R986" i="2"/>
  <c r="R985" i="2"/>
  <c r="R984" i="2"/>
  <c r="P989" i="2"/>
  <c r="O989" i="2"/>
  <c r="R983" i="2"/>
  <c r="R989" i="2" l="1"/>
  <c r="V305" i="2"/>
  <c r="U147" i="2"/>
  <c r="W264" i="1"/>
  <c r="S9" i="5"/>
  <c r="O87" i="7"/>
  <c r="O74" i="7"/>
  <c r="O48" i="7"/>
  <c r="O31" i="7"/>
  <c r="O33" i="7" s="1"/>
  <c r="O50" i="7" s="1"/>
  <c r="O76" i="7" s="1"/>
  <c r="O82" i="7" s="1"/>
  <c r="O91" i="7" s="1"/>
  <c r="S8" i="7"/>
  <c r="O26" i="7"/>
  <c r="P93" i="5"/>
  <c r="P91" i="5"/>
  <c r="O981" i="2" l="1"/>
  <c r="P981" i="2"/>
  <c r="N981" i="2"/>
  <c r="R980" i="2"/>
  <c r="R981" i="2" s="1"/>
  <c r="O86" i="7"/>
  <c r="O79" i="7"/>
  <c r="O78" i="7"/>
  <c r="O64" i="7"/>
  <c r="O65" i="7"/>
  <c r="O66" i="7"/>
  <c r="O67" i="7"/>
  <c r="O68" i="7"/>
  <c r="O69" i="7"/>
  <c r="O70" i="7"/>
  <c r="O71" i="7"/>
  <c r="O63" i="7"/>
  <c r="O53" i="7"/>
  <c r="O54" i="7"/>
  <c r="O55" i="7"/>
  <c r="O56" i="7"/>
  <c r="O57" i="7"/>
  <c r="O58" i="7"/>
  <c r="O59" i="7"/>
  <c r="O52" i="7"/>
  <c r="O37" i="7"/>
  <c r="O38" i="7"/>
  <c r="O39" i="7"/>
  <c r="O40" i="7"/>
  <c r="O41" i="7"/>
  <c r="O42" i="7"/>
  <c r="O43" i="7"/>
  <c r="O44" i="7"/>
  <c r="O45" i="7"/>
  <c r="O46" i="7"/>
  <c r="O47" i="7"/>
  <c r="O36" i="7"/>
  <c r="P442" i="1" l="1"/>
  <c r="T442" i="1"/>
  <c r="T441" i="1"/>
  <c r="T440" i="1"/>
  <c r="N13" i="8" l="1"/>
  <c r="N977" i="2" l="1"/>
  <c r="R976" i="2"/>
  <c r="R977" i="2" s="1"/>
  <c r="P437" i="1"/>
  <c r="T436" i="1"/>
  <c r="T437" i="1" s="1"/>
  <c r="T432" i="1"/>
  <c r="T433" i="1" s="1"/>
  <c r="T429" i="1"/>
  <c r="P433" i="1"/>
  <c r="M87" i="7"/>
  <c r="G601" i="2" l="1"/>
  <c r="R601" i="2"/>
  <c r="G602" i="2"/>
  <c r="R602" i="2"/>
  <c r="G603" i="2"/>
  <c r="R603" i="2"/>
  <c r="G604" i="2"/>
  <c r="R604" i="2"/>
  <c r="G605" i="2"/>
  <c r="R605" i="2"/>
  <c r="G606" i="2"/>
  <c r="R606" i="2"/>
  <c r="G607" i="2"/>
  <c r="R607" i="2"/>
  <c r="G608" i="2"/>
  <c r="R608" i="2"/>
  <c r="G609" i="2"/>
  <c r="R609" i="2"/>
  <c r="R645" i="2"/>
  <c r="P430" i="1" l="1"/>
  <c r="T420" i="1"/>
  <c r="T421" i="1"/>
  <c r="T422" i="1"/>
  <c r="T423" i="1"/>
  <c r="T424" i="1"/>
  <c r="T425" i="1"/>
  <c r="T426" i="1"/>
  <c r="T427" i="1"/>
  <c r="T428" i="1"/>
  <c r="G12" i="8"/>
  <c r="G10" i="8"/>
  <c r="X12" i="8"/>
  <c r="Q12" i="8"/>
  <c r="T430" i="1" l="1"/>
  <c r="P418" i="1"/>
  <c r="A3" i="1" l="1"/>
  <c r="R319" i="2"/>
  <c r="R318" i="2"/>
  <c r="R314" i="2"/>
  <c r="R310" i="2"/>
  <c r="R299" i="2"/>
  <c r="R298" i="2"/>
  <c r="R297" i="2"/>
  <c r="R296" i="2"/>
  <c r="R295" i="2"/>
  <c r="R294" i="2"/>
  <c r="R293" i="2"/>
  <c r="R292" i="2"/>
  <c r="R291" i="2"/>
  <c r="R290" i="2"/>
  <c r="R289" i="2"/>
  <c r="R288" i="2"/>
  <c r="R287" i="2"/>
  <c r="R286" i="2"/>
  <c r="R285" i="2"/>
  <c r="R284" i="2"/>
  <c r="R281" i="2"/>
  <c r="R280" i="2"/>
  <c r="R279" i="2"/>
  <c r="R278" i="2"/>
  <c r="R276" i="2"/>
  <c r="R275" i="2"/>
  <c r="R274" i="2"/>
  <c r="R273" i="2"/>
  <c r="R272" i="2"/>
  <c r="R271" i="2"/>
  <c r="R270" i="2"/>
  <c r="R269" i="2"/>
  <c r="R268" i="2"/>
  <c r="R267" i="2"/>
  <c r="R266" i="2"/>
  <c r="R265" i="2"/>
  <c r="R264" i="2"/>
  <c r="R263" i="2"/>
  <c r="R262" i="2"/>
  <c r="R259" i="2"/>
  <c r="R234" i="2"/>
  <c r="R233" i="2"/>
  <c r="R232" i="2"/>
  <c r="R231" i="2"/>
  <c r="R230" i="2"/>
  <c r="R229" i="2"/>
  <c r="R228" i="2"/>
  <c r="R227" i="2"/>
  <c r="R226" i="2"/>
  <c r="R225" i="2"/>
  <c r="R223" i="2"/>
  <c r="R158" i="2"/>
  <c r="R157" i="2"/>
  <c r="R100" i="2"/>
  <c r="R99" i="2"/>
  <c r="R98" i="2"/>
  <c r="R95" i="2"/>
  <c r="R94" i="2"/>
  <c r="R93" i="2"/>
  <c r="R92" i="2"/>
  <c r="R88" i="2"/>
  <c r="R85" i="2"/>
  <c r="R84" i="2"/>
  <c r="R81" i="2"/>
  <c r="R69" i="2"/>
  <c r="R57" i="2"/>
  <c r="R35" i="2"/>
  <c r="R34" i="2"/>
  <c r="R33" i="2"/>
  <c r="R32" i="2"/>
  <c r="R29" i="2"/>
  <c r="R28" i="2"/>
  <c r="R23" i="2"/>
  <c r="N974" i="2"/>
  <c r="U323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8" i="2"/>
  <c r="U59" i="2"/>
  <c r="U60" i="2"/>
  <c r="U61" i="2"/>
  <c r="U8" i="2"/>
  <c r="G18" i="10" l="1"/>
  <c r="X11" i="8"/>
  <c r="Q11" i="8"/>
  <c r="G11" i="8"/>
  <c r="R973" i="2"/>
  <c r="R972" i="2"/>
  <c r="R971" i="2"/>
  <c r="R974" i="2" l="1"/>
  <c r="T417" i="1"/>
  <c r="T416" i="1"/>
  <c r="T415" i="1"/>
  <c r="T414" i="1"/>
  <c r="T413" i="1"/>
  <c r="T412" i="1"/>
  <c r="T411" i="1"/>
  <c r="T410" i="1"/>
  <c r="T409" i="1"/>
  <c r="T408" i="1"/>
  <c r="T407" i="1"/>
  <c r="T406" i="1"/>
  <c r="T405" i="1"/>
  <c r="T404" i="1"/>
  <c r="T403" i="1"/>
  <c r="T402" i="1"/>
  <c r="T401" i="1"/>
  <c r="T400" i="1"/>
  <c r="T399" i="1"/>
  <c r="T398" i="1"/>
  <c r="T397" i="1"/>
  <c r="T396" i="1"/>
  <c r="T395" i="1"/>
  <c r="T394" i="1"/>
  <c r="T393" i="1"/>
  <c r="T392" i="1"/>
  <c r="T391" i="1"/>
  <c r="T390" i="1"/>
  <c r="T389" i="1"/>
  <c r="T388" i="1"/>
  <c r="T387" i="1"/>
  <c r="T386" i="1"/>
  <c r="T418" i="1" l="1"/>
  <c r="P384" i="1"/>
  <c r="T383" i="1"/>
  <c r="T384" i="1" l="1"/>
  <c r="D20" i="10" l="1"/>
  <c r="T768" i="2" l="1"/>
  <c r="Q45" i="3"/>
  <c r="T370" i="1" l="1"/>
  <c r="F6" i="10"/>
  <c r="E6" i="10"/>
  <c r="D6" i="10"/>
  <c r="Q6" i="9"/>
  <c r="P6" i="9"/>
  <c r="O6" i="9"/>
  <c r="T7" i="8"/>
  <c r="S7" i="8"/>
  <c r="R7" i="8"/>
  <c r="U6" i="2"/>
  <c r="T6" i="2"/>
  <c r="S6" i="2"/>
  <c r="R7" i="7"/>
  <c r="Q7" i="7"/>
  <c r="P7" i="7"/>
  <c r="S7" i="5"/>
  <c r="R7" i="5"/>
  <c r="Q7" i="5"/>
  <c r="W6" i="1"/>
  <c r="V6" i="1"/>
  <c r="U6" i="1"/>
  <c r="U6" i="4"/>
  <c r="T6" i="4"/>
  <c r="S6" i="4"/>
  <c r="R7" i="6"/>
  <c r="S7" i="6"/>
  <c r="T7" i="6"/>
  <c r="X10" i="8"/>
  <c r="Q10" i="8"/>
  <c r="X9" i="8"/>
  <c r="G9" i="8"/>
  <c r="G8" i="8"/>
  <c r="Q9" i="8"/>
  <c r="T380" i="1"/>
  <c r="Q13" i="8" l="1"/>
  <c r="C15" i="10" s="1"/>
  <c r="P381" i="1"/>
  <c r="P446" i="1" s="1"/>
  <c r="T381" i="1"/>
  <c r="AB4" i="1"/>
  <c r="AB441" i="1" s="1"/>
  <c r="V441" i="1" s="1"/>
  <c r="T4" i="9"/>
  <c r="Z5" i="8"/>
  <c r="W5" i="5"/>
  <c r="V5" i="7" s="1"/>
  <c r="V86" i="7" s="1"/>
  <c r="Q86" i="7" s="1"/>
  <c r="X4" i="4"/>
  <c r="Z5" i="6"/>
  <c r="Z4" i="2"/>
  <c r="Z1001" i="2" s="1"/>
  <c r="T1001" i="2" s="1"/>
  <c r="A3" i="10"/>
  <c r="A4" i="11"/>
  <c r="A3" i="9"/>
  <c r="A4" i="8"/>
  <c r="A3" i="2"/>
  <c r="A3" i="7"/>
  <c r="A4" i="5"/>
  <c r="A3" i="4"/>
  <c r="A4" i="6"/>
  <c r="B23" i="10"/>
  <c r="X12" i="4" l="1"/>
  <c r="X11" i="4"/>
  <c r="U1001" i="2"/>
  <c r="U1002" i="2" s="1"/>
  <c r="T1002" i="2"/>
  <c r="V1001" i="2"/>
  <c r="V1002" i="2" s="1"/>
  <c r="Z991" i="2"/>
  <c r="T991" i="2" s="1"/>
  <c r="V991" i="2" s="1"/>
  <c r="V992" i="2" s="1"/>
  <c r="Z998" i="2"/>
  <c r="T998" i="2" s="1"/>
  <c r="Z996" i="2"/>
  <c r="T996" i="2" s="1"/>
  <c r="Z994" i="2"/>
  <c r="T994" i="2" s="1"/>
  <c r="Z997" i="2"/>
  <c r="T997" i="2" s="1"/>
  <c r="Z995" i="2"/>
  <c r="T995" i="2" s="1"/>
  <c r="Z984" i="2"/>
  <c r="T984" i="2" s="1"/>
  <c r="Z987" i="2"/>
  <c r="T987" i="2" s="1"/>
  <c r="Z983" i="2"/>
  <c r="T983" i="2" s="1"/>
  <c r="Z985" i="2"/>
  <c r="T985" i="2" s="1"/>
  <c r="Z988" i="2"/>
  <c r="T988" i="2" s="1"/>
  <c r="Z986" i="2"/>
  <c r="T986" i="2" s="1"/>
  <c r="Z976" i="2"/>
  <c r="T976" i="2" s="1"/>
  <c r="V976" i="2" s="1"/>
  <c r="V977" i="2" s="1"/>
  <c r="Z980" i="2"/>
  <c r="T980" i="2" s="1"/>
  <c r="Z979" i="2"/>
  <c r="T979" i="2" s="1"/>
  <c r="X441" i="1"/>
  <c r="W441" i="1"/>
  <c r="AB436" i="1"/>
  <c r="V436" i="1" s="1"/>
  <c r="V437" i="1" s="1"/>
  <c r="AB440" i="1"/>
  <c r="V440" i="1" s="1"/>
  <c r="V442" i="1" s="1"/>
  <c r="AB417" i="1"/>
  <c r="V417" i="1" s="1"/>
  <c r="AB432" i="1"/>
  <c r="V432" i="1" s="1"/>
  <c r="V433" i="1" s="1"/>
  <c r="Q87" i="7"/>
  <c r="R86" i="7"/>
  <c r="R87" i="7" s="1"/>
  <c r="S86" i="7"/>
  <c r="S87" i="7" s="1"/>
  <c r="AB420" i="1"/>
  <c r="V420" i="1" s="1"/>
  <c r="X420" i="1" s="1"/>
  <c r="AB429" i="1"/>
  <c r="V429" i="1" s="1"/>
  <c r="Z603" i="2"/>
  <c r="T603" i="2" s="1"/>
  <c r="Z602" i="2"/>
  <c r="T602" i="2" s="1"/>
  <c r="Z601" i="2"/>
  <c r="T601" i="2" s="1"/>
  <c r="Z608" i="2"/>
  <c r="T608" i="2" s="1"/>
  <c r="Z607" i="2"/>
  <c r="T607" i="2" s="1"/>
  <c r="Z609" i="2"/>
  <c r="T609" i="2" s="1"/>
  <c r="Z604" i="2"/>
  <c r="T604" i="2" s="1"/>
  <c r="Z605" i="2"/>
  <c r="T605" i="2" s="1"/>
  <c r="Z606" i="2"/>
  <c r="T606" i="2" s="1"/>
  <c r="Z11" i="8"/>
  <c r="S11" i="8" s="1"/>
  <c r="U11" i="8" s="1"/>
  <c r="Z12" i="8"/>
  <c r="S12" i="8" s="1"/>
  <c r="AB426" i="1"/>
  <c r="V426" i="1" s="1"/>
  <c r="AB422" i="1"/>
  <c r="V422" i="1" s="1"/>
  <c r="AB427" i="1"/>
  <c r="V427" i="1" s="1"/>
  <c r="AB423" i="1"/>
  <c r="V423" i="1" s="1"/>
  <c r="AB425" i="1"/>
  <c r="V425" i="1" s="1"/>
  <c r="AB421" i="1"/>
  <c r="V421" i="1" s="1"/>
  <c r="AB428" i="1"/>
  <c r="V428" i="1" s="1"/>
  <c r="AB424" i="1"/>
  <c r="V424" i="1" s="1"/>
  <c r="Z973" i="2"/>
  <c r="T973" i="2" s="1"/>
  <c r="V973" i="2" s="1"/>
  <c r="Z972" i="2"/>
  <c r="T972" i="2" s="1"/>
  <c r="Z971" i="2"/>
  <c r="T971" i="2" s="1"/>
  <c r="AB383" i="1"/>
  <c r="V383" i="1" s="1"/>
  <c r="V384" i="1" s="1"/>
  <c r="AB415" i="1"/>
  <c r="V415" i="1" s="1"/>
  <c r="AB414" i="1"/>
  <c r="V414" i="1" s="1"/>
  <c r="AB411" i="1"/>
  <c r="V411" i="1" s="1"/>
  <c r="AB410" i="1"/>
  <c r="V410" i="1" s="1"/>
  <c r="AB407" i="1"/>
  <c r="V407" i="1" s="1"/>
  <c r="AB406" i="1"/>
  <c r="V406" i="1" s="1"/>
  <c r="AB403" i="1"/>
  <c r="V403" i="1" s="1"/>
  <c r="AB402" i="1"/>
  <c r="V402" i="1" s="1"/>
  <c r="AB399" i="1"/>
  <c r="V399" i="1" s="1"/>
  <c r="AB398" i="1"/>
  <c r="V398" i="1" s="1"/>
  <c r="AB395" i="1"/>
  <c r="V395" i="1" s="1"/>
  <c r="AB390" i="1"/>
  <c r="V390" i="1" s="1"/>
  <c r="AB386" i="1"/>
  <c r="V386" i="1" s="1"/>
  <c r="AB416" i="1"/>
  <c r="V416" i="1" s="1"/>
  <c r="AB413" i="1"/>
  <c r="V413" i="1" s="1"/>
  <c r="AB412" i="1"/>
  <c r="V412" i="1" s="1"/>
  <c r="AB409" i="1"/>
  <c r="V409" i="1" s="1"/>
  <c r="AB408" i="1"/>
  <c r="V408" i="1" s="1"/>
  <c r="AB405" i="1"/>
  <c r="V405" i="1" s="1"/>
  <c r="AB404" i="1"/>
  <c r="V404" i="1" s="1"/>
  <c r="AB401" i="1"/>
  <c r="V401" i="1" s="1"/>
  <c r="AB400" i="1"/>
  <c r="V400" i="1" s="1"/>
  <c r="AB397" i="1"/>
  <c r="V397" i="1" s="1"/>
  <c r="AB396" i="1"/>
  <c r="V396" i="1" s="1"/>
  <c r="AB393" i="1"/>
  <c r="V393" i="1" s="1"/>
  <c r="AB392" i="1"/>
  <c r="V392" i="1" s="1"/>
  <c r="AB389" i="1"/>
  <c r="V389" i="1" s="1"/>
  <c r="AB388" i="1"/>
  <c r="V388" i="1" s="1"/>
  <c r="AB394" i="1"/>
  <c r="V394" i="1" s="1"/>
  <c r="AB391" i="1"/>
  <c r="V391" i="1" s="1"/>
  <c r="AB387" i="1"/>
  <c r="V387" i="1" s="1"/>
  <c r="Z9" i="8"/>
  <c r="S9" i="8" s="1"/>
  <c r="Z8" i="8"/>
  <c r="Z10" i="8"/>
  <c r="S10" i="8" s="1"/>
  <c r="T10" i="8" s="1"/>
  <c r="AB380" i="1"/>
  <c r="V380" i="1" s="1"/>
  <c r="B15" i="10"/>
  <c r="G26" i="10"/>
  <c r="C28" i="10"/>
  <c r="E28" i="10" s="1"/>
  <c r="G28" i="10" s="1"/>
  <c r="C7" i="9"/>
  <c r="T7" i="9" s="1"/>
  <c r="H7" i="9"/>
  <c r="I7" i="9"/>
  <c r="J7" i="9"/>
  <c r="K7" i="9"/>
  <c r="L7" i="9" s="1"/>
  <c r="X8" i="8"/>
  <c r="M80" i="7"/>
  <c r="O80" i="7"/>
  <c r="M31" i="7"/>
  <c r="M72" i="7"/>
  <c r="M60" i="7"/>
  <c r="M48" i="7"/>
  <c r="F47" i="7"/>
  <c r="F46" i="7"/>
  <c r="F45" i="7"/>
  <c r="F44" i="7"/>
  <c r="F43" i="7"/>
  <c r="F42" i="7"/>
  <c r="F41" i="7"/>
  <c r="F40" i="7"/>
  <c r="F39" i="7"/>
  <c r="F38" i="7"/>
  <c r="F37" i="7"/>
  <c r="F36" i="7"/>
  <c r="T29" i="7"/>
  <c r="F29" i="7"/>
  <c r="T25" i="7"/>
  <c r="F25" i="7"/>
  <c r="T24" i="7"/>
  <c r="M24" i="7"/>
  <c r="F24" i="7"/>
  <c r="T23" i="7"/>
  <c r="M23" i="7"/>
  <c r="F23" i="7"/>
  <c r="T22" i="7"/>
  <c r="M22" i="7"/>
  <c r="F22" i="7"/>
  <c r="T21" i="7"/>
  <c r="M21" i="7"/>
  <c r="F21" i="7"/>
  <c r="T20" i="7"/>
  <c r="M20" i="7"/>
  <c r="F20" i="7"/>
  <c r="T19" i="7"/>
  <c r="M19" i="7"/>
  <c r="F19" i="7"/>
  <c r="T18" i="7"/>
  <c r="M18" i="7"/>
  <c r="F18" i="7"/>
  <c r="T17" i="7"/>
  <c r="M17" i="7"/>
  <c r="F17" i="7"/>
  <c r="T16" i="7"/>
  <c r="M16" i="7"/>
  <c r="F16" i="7"/>
  <c r="T15" i="7"/>
  <c r="M15" i="7"/>
  <c r="F15" i="7"/>
  <c r="T14" i="7"/>
  <c r="M14" i="7"/>
  <c r="F14" i="7"/>
  <c r="T13" i="7"/>
  <c r="M13" i="7"/>
  <c r="F13" i="7"/>
  <c r="T12" i="7"/>
  <c r="M12" i="7"/>
  <c r="F12" i="7"/>
  <c r="T11" i="7"/>
  <c r="M11" i="7"/>
  <c r="F11" i="7"/>
  <c r="T10" i="7"/>
  <c r="M10" i="7"/>
  <c r="F10" i="7"/>
  <c r="T9" i="7"/>
  <c r="M9" i="7"/>
  <c r="F9" i="7"/>
  <c r="T8" i="7"/>
  <c r="F8" i="7"/>
  <c r="V71" i="7"/>
  <c r="Q9" i="6"/>
  <c r="C8" i="10" s="1"/>
  <c r="N9" i="6"/>
  <c r="B8" i="10" s="1"/>
  <c r="X8" i="6"/>
  <c r="Q8" i="6"/>
  <c r="Z8" i="6"/>
  <c r="S8" i="6" s="1"/>
  <c r="N90" i="5"/>
  <c r="N89" i="5"/>
  <c r="P89" i="5" s="1"/>
  <c r="N88" i="5"/>
  <c r="N87" i="5"/>
  <c r="P87" i="5" s="1"/>
  <c r="N86" i="5"/>
  <c r="N85" i="5"/>
  <c r="P85" i="5" s="1"/>
  <c r="N84" i="5"/>
  <c r="P83" i="5"/>
  <c r="N83" i="5"/>
  <c r="N82" i="5"/>
  <c r="N81" i="5"/>
  <c r="P81" i="5" s="1"/>
  <c r="N80" i="5"/>
  <c r="P79" i="5"/>
  <c r="N79" i="5"/>
  <c r="N78" i="5"/>
  <c r="N77" i="5"/>
  <c r="P77" i="5" s="1"/>
  <c r="N76" i="5"/>
  <c r="N75" i="5"/>
  <c r="P75" i="5" s="1"/>
  <c r="N74" i="5"/>
  <c r="N73" i="5"/>
  <c r="P73" i="5" s="1"/>
  <c r="N72" i="5"/>
  <c r="N71" i="5"/>
  <c r="P71" i="5" s="1"/>
  <c r="N70" i="5"/>
  <c r="N69" i="5"/>
  <c r="N65" i="5"/>
  <c r="P64" i="5"/>
  <c r="G64" i="5"/>
  <c r="P63" i="5"/>
  <c r="G63" i="5"/>
  <c r="P62" i="5"/>
  <c r="G62" i="5"/>
  <c r="N60" i="5"/>
  <c r="G59" i="5"/>
  <c r="G58" i="5"/>
  <c r="G57" i="5"/>
  <c r="G56" i="5"/>
  <c r="G55" i="5"/>
  <c r="P60" i="5"/>
  <c r="G54" i="5"/>
  <c r="N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W11" i="5" s="1"/>
  <c r="G10" i="5"/>
  <c r="W10" i="5" s="1"/>
  <c r="G9" i="5"/>
  <c r="W9" i="5" s="1"/>
  <c r="P52" i="5"/>
  <c r="G8" i="5"/>
  <c r="W8" i="5" s="1"/>
  <c r="W89" i="5"/>
  <c r="U768" i="2"/>
  <c r="V273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67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49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7" i="1"/>
  <c r="N20" i="4"/>
  <c r="R19" i="4"/>
  <c r="R18" i="4"/>
  <c r="N16" i="4"/>
  <c r="N22" i="4" s="1"/>
  <c r="G14" i="4"/>
  <c r="G13" i="4"/>
  <c r="G10" i="4"/>
  <c r="G9" i="4"/>
  <c r="G8" i="4"/>
  <c r="G7" i="4"/>
  <c r="X7" i="4" s="1"/>
  <c r="X19" i="4"/>
  <c r="T992" i="2" l="1"/>
  <c r="U991" i="2"/>
  <c r="U992" i="2" s="1"/>
  <c r="V994" i="2"/>
  <c r="U994" i="2"/>
  <c r="T999" i="2"/>
  <c r="U996" i="2"/>
  <c r="V996" i="2"/>
  <c r="V995" i="2"/>
  <c r="U995" i="2"/>
  <c r="V998" i="2"/>
  <c r="U998" i="2"/>
  <c r="V997" i="2"/>
  <c r="U997" i="2"/>
  <c r="X436" i="1"/>
  <c r="X437" i="1" s="1"/>
  <c r="T989" i="2"/>
  <c r="V983" i="2"/>
  <c r="U983" i="2"/>
  <c r="U976" i="2"/>
  <c r="U977" i="2" s="1"/>
  <c r="U986" i="2"/>
  <c r="V986" i="2"/>
  <c r="V987" i="2"/>
  <c r="U987" i="2"/>
  <c r="U985" i="2"/>
  <c r="V985" i="2"/>
  <c r="V988" i="2"/>
  <c r="U988" i="2"/>
  <c r="V984" i="2"/>
  <c r="U984" i="2"/>
  <c r="P65" i="5"/>
  <c r="W436" i="1"/>
  <c r="W437" i="1" s="1"/>
  <c r="T977" i="2"/>
  <c r="V979" i="2"/>
  <c r="T981" i="2"/>
  <c r="U979" i="2"/>
  <c r="U980" i="2"/>
  <c r="V980" i="2"/>
  <c r="X440" i="1"/>
  <c r="X442" i="1" s="1"/>
  <c r="W440" i="1"/>
  <c r="W442" i="1" s="1"/>
  <c r="T11" i="8"/>
  <c r="S13" i="8"/>
  <c r="E15" i="10" s="1"/>
  <c r="X432" i="1"/>
  <c r="X433" i="1" s="1"/>
  <c r="W432" i="1"/>
  <c r="W433" i="1" s="1"/>
  <c r="W420" i="1"/>
  <c r="O60" i="7"/>
  <c r="X429" i="1"/>
  <c r="W429" i="1"/>
  <c r="V430" i="1"/>
  <c r="V604" i="2"/>
  <c r="U604" i="2"/>
  <c r="V601" i="2"/>
  <c r="U601" i="2"/>
  <c r="V606" i="2"/>
  <c r="U606" i="2"/>
  <c r="V607" i="2"/>
  <c r="U607" i="2"/>
  <c r="V602" i="2"/>
  <c r="U602" i="2"/>
  <c r="U609" i="2"/>
  <c r="V609" i="2"/>
  <c r="U605" i="2"/>
  <c r="V605" i="2"/>
  <c r="V608" i="2"/>
  <c r="U608" i="2"/>
  <c r="U603" i="2"/>
  <c r="V603" i="2"/>
  <c r="T12" i="8"/>
  <c r="U12" i="8"/>
  <c r="T9" i="8"/>
  <c r="X383" i="1"/>
  <c r="X384" i="1" s="1"/>
  <c r="W428" i="1"/>
  <c r="X428" i="1"/>
  <c r="X427" i="1"/>
  <c r="W427" i="1"/>
  <c r="W383" i="1"/>
  <c r="W384" i="1" s="1"/>
  <c r="X425" i="1"/>
  <c r="W425" i="1"/>
  <c r="W422" i="1"/>
  <c r="X422" i="1"/>
  <c r="W421" i="1"/>
  <c r="X421" i="1"/>
  <c r="W424" i="1"/>
  <c r="X424" i="1"/>
  <c r="X423" i="1"/>
  <c r="W423" i="1"/>
  <c r="X426" i="1"/>
  <c r="W426" i="1"/>
  <c r="M74" i="7"/>
  <c r="B20" i="10"/>
  <c r="B9" i="10"/>
  <c r="R20" i="4"/>
  <c r="N91" i="5"/>
  <c r="M26" i="7"/>
  <c r="M33" i="7" s="1"/>
  <c r="U971" i="2"/>
  <c r="V971" i="2"/>
  <c r="T974" i="2"/>
  <c r="U973" i="2"/>
  <c r="U972" i="2"/>
  <c r="V972" i="2"/>
  <c r="W387" i="1"/>
  <c r="X387" i="1"/>
  <c r="W394" i="1"/>
  <c r="X394" i="1"/>
  <c r="W389" i="1"/>
  <c r="X389" i="1"/>
  <c r="W393" i="1"/>
  <c r="X393" i="1"/>
  <c r="W397" i="1"/>
  <c r="X397" i="1"/>
  <c r="W401" i="1"/>
  <c r="X401" i="1"/>
  <c r="W405" i="1"/>
  <c r="X405" i="1"/>
  <c r="W409" i="1"/>
  <c r="X409" i="1"/>
  <c r="W413" i="1"/>
  <c r="X413" i="1"/>
  <c r="W417" i="1"/>
  <c r="X417" i="1"/>
  <c r="W390" i="1"/>
  <c r="X390" i="1"/>
  <c r="W398" i="1"/>
  <c r="X398" i="1"/>
  <c r="W402" i="1"/>
  <c r="X402" i="1"/>
  <c r="W406" i="1"/>
  <c r="X406" i="1"/>
  <c r="W410" i="1"/>
  <c r="X410" i="1"/>
  <c r="W414" i="1"/>
  <c r="X414" i="1"/>
  <c r="W391" i="1"/>
  <c r="X391" i="1"/>
  <c r="W388" i="1"/>
  <c r="X388" i="1"/>
  <c r="W392" i="1"/>
  <c r="X392" i="1"/>
  <c r="W396" i="1"/>
  <c r="X396" i="1"/>
  <c r="W400" i="1"/>
  <c r="X400" i="1"/>
  <c r="W404" i="1"/>
  <c r="X404" i="1"/>
  <c r="W408" i="1"/>
  <c r="X408" i="1"/>
  <c r="W412" i="1"/>
  <c r="X412" i="1"/>
  <c r="W416" i="1"/>
  <c r="X416" i="1"/>
  <c r="W386" i="1"/>
  <c r="X386" i="1"/>
  <c r="V418" i="1"/>
  <c r="W395" i="1"/>
  <c r="X395" i="1"/>
  <c r="W399" i="1"/>
  <c r="X399" i="1"/>
  <c r="W403" i="1"/>
  <c r="X403" i="1"/>
  <c r="W407" i="1"/>
  <c r="X407" i="1"/>
  <c r="W411" i="1"/>
  <c r="X411" i="1"/>
  <c r="W415" i="1"/>
  <c r="X415" i="1"/>
  <c r="U10" i="8"/>
  <c r="U9" i="8"/>
  <c r="S9" i="6"/>
  <c r="E8" i="10" s="1"/>
  <c r="R9" i="6"/>
  <c r="D8" i="10" s="1"/>
  <c r="V381" i="1"/>
  <c r="W380" i="1"/>
  <c r="W381" i="1" s="1"/>
  <c r="X380" i="1"/>
  <c r="X381" i="1" s="1"/>
  <c r="N7" i="9"/>
  <c r="O72" i="7"/>
  <c r="V79" i="7"/>
  <c r="Q71" i="7"/>
  <c r="V8" i="7"/>
  <c r="V10" i="7"/>
  <c r="V12" i="7"/>
  <c r="V14" i="7"/>
  <c r="S14" i="7" s="1"/>
  <c r="V15" i="7"/>
  <c r="V18" i="7"/>
  <c r="V19" i="7"/>
  <c r="V21" i="7"/>
  <c r="V22" i="7"/>
  <c r="V25" i="7"/>
  <c r="S25" i="7" s="1"/>
  <c r="V36" i="7"/>
  <c r="Q36" i="7" s="1"/>
  <c r="R36" i="7" s="1"/>
  <c r="V37" i="7"/>
  <c r="V38" i="7"/>
  <c r="Q38" i="7" s="1"/>
  <c r="S38" i="7" s="1"/>
  <c r="V39" i="7"/>
  <c r="V40" i="7"/>
  <c r="Q40" i="7" s="1"/>
  <c r="V41" i="7"/>
  <c r="Q41" i="7" s="1"/>
  <c r="V42" i="7"/>
  <c r="Q42" i="7" s="1"/>
  <c r="V43" i="7"/>
  <c r="V44" i="7"/>
  <c r="V45" i="7"/>
  <c r="Q45" i="7" s="1"/>
  <c r="V46" i="7"/>
  <c r="Q46" i="7" s="1"/>
  <c r="S46" i="7" s="1"/>
  <c r="V47" i="7"/>
  <c r="V9" i="7"/>
  <c r="V11" i="7"/>
  <c r="V13" i="7"/>
  <c r="V16" i="7"/>
  <c r="S16" i="7" s="1"/>
  <c r="V17" i="7"/>
  <c r="V20" i="7"/>
  <c r="V23" i="7"/>
  <c r="S23" i="7" s="1"/>
  <c r="V24" i="7"/>
  <c r="V29" i="7"/>
  <c r="S29" i="7" s="1"/>
  <c r="V78" i="7"/>
  <c r="V52" i="7"/>
  <c r="V53" i="7"/>
  <c r="V54" i="7"/>
  <c r="V55" i="7"/>
  <c r="V56" i="7"/>
  <c r="V57" i="7"/>
  <c r="V58" i="7"/>
  <c r="Q58" i="7" s="1"/>
  <c r="V59" i="7"/>
  <c r="V63" i="7"/>
  <c r="V64" i="7"/>
  <c r="Q64" i="7" s="1"/>
  <c r="S64" i="7" s="1"/>
  <c r="V65" i="7"/>
  <c r="V66" i="7"/>
  <c r="V67" i="7"/>
  <c r="V68" i="7"/>
  <c r="Q68" i="7" s="1"/>
  <c r="V69" i="7"/>
  <c r="V70" i="7"/>
  <c r="Q70" i="7" s="1"/>
  <c r="R89" i="5"/>
  <c r="T89" i="5" s="1"/>
  <c r="N67" i="5"/>
  <c r="P69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62" i="5"/>
  <c r="W63" i="5"/>
  <c r="W64" i="5"/>
  <c r="W54" i="5"/>
  <c r="W55" i="5"/>
  <c r="W56" i="5"/>
  <c r="W57" i="5"/>
  <c r="W58" i="5"/>
  <c r="W59" i="5"/>
  <c r="P67" i="5"/>
  <c r="W70" i="5"/>
  <c r="W72" i="5"/>
  <c r="W74" i="5"/>
  <c r="W76" i="5"/>
  <c r="W78" i="5"/>
  <c r="W80" i="5"/>
  <c r="W82" i="5"/>
  <c r="W84" i="5"/>
  <c r="W86" i="5"/>
  <c r="W88" i="5"/>
  <c r="W90" i="5"/>
  <c r="W69" i="5"/>
  <c r="P70" i="5"/>
  <c r="W71" i="5"/>
  <c r="P72" i="5"/>
  <c r="W73" i="5"/>
  <c r="P74" i="5"/>
  <c r="W75" i="5"/>
  <c r="P76" i="5"/>
  <c r="W77" i="5"/>
  <c r="P78" i="5"/>
  <c r="W79" i="5"/>
  <c r="P80" i="5"/>
  <c r="W81" i="5"/>
  <c r="P82" i="5"/>
  <c r="W83" i="5"/>
  <c r="P84" i="5"/>
  <c r="W85" i="5"/>
  <c r="P86" i="5"/>
  <c r="W87" i="5"/>
  <c r="P88" i="5"/>
  <c r="P90" i="5"/>
  <c r="R16" i="4"/>
  <c r="R22" i="4" s="1"/>
  <c r="X8" i="4"/>
  <c r="X9" i="4"/>
  <c r="X10" i="4"/>
  <c r="X13" i="4"/>
  <c r="X14" i="4"/>
  <c r="U14" i="4" s="1"/>
  <c r="T19" i="4"/>
  <c r="X18" i="4"/>
  <c r="U13" i="4" l="1"/>
  <c r="V446" i="1"/>
  <c r="T1006" i="2"/>
  <c r="U999" i="2"/>
  <c r="V999" i="2"/>
  <c r="U989" i="2"/>
  <c r="V989" i="2"/>
  <c r="U981" i="2"/>
  <c r="V981" i="2"/>
  <c r="N93" i="5"/>
  <c r="B11" i="10" s="1"/>
  <c r="C9" i="10"/>
  <c r="U13" i="8"/>
  <c r="T13" i="8"/>
  <c r="U8" i="6"/>
  <c r="U9" i="6" s="1"/>
  <c r="G8" i="10" s="1"/>
  <c r="W430" i="1"/>
  <c r="X430" i="1"/>
  <c r="F15" i="10"/>
  <c r="T8" i="6"/>
  <c r="T9" i="6" s="1"/>
  <c r="F8" i="10" s="1"/>
  <c r="V974" i="2"/>
  <c r="X418" i="1"/>
  <c r="X446" i="1" s="1"/>
  <c r="U974" i="2"/>
  <c r="W418" i="1"/>
  <c r="T18" i="4"/>
  <c r="U18" i="4" s="1"/>
  <c r="R62" i="5"/>
  <c r="T62" i="5" s="1"/>
  <c r="R85" i="5"/>
  <c r="S85" i="5" s="1"/>
  <c r="R81" i="5"/>
  <c r="T81" i="5" s="1"/>
  <c r="R77" i="5"/>
  <c r="S77" i="5" s="1"/>
  <c r="R73" i="5"/>
  <c r="S73" i="5" s="1"/>
  <c r="Q78" i="7"/>
  <c r="S78" i="7" s="1"/>
  <c r="Q79" i="7"/>
  <c r="S79" i="7" s="1"/>
  <c r="D15" i="10"/>
  <c r="U8" i="8"/>
  <c r="P7" i="9"/>
  <c r="C20" i="10"/>
  <c r="M50" i="7"/>
  <c r="M76" i="7" s="1"/>
  <c r="M82" i="7" s="1"/>
  <c r="M91" i="7" s="1"/>
  <c r="S70" i="7"/>
  <c r="S68" i="7"/>
  <c r="Q31" i="7"/>
  <c r="S31" i="7"/>
  <c r="S42" i="7"/>
  <c r="S40" i="7"/>
  <c r="S58" i="7"/>
  <c r="S21" i="7"/>
  <c r="Q47" i="7"/>
  <c r="S47" i="7" s="1"/>
  <c r="Q43" i="7"/>
  <c r="R43" i="7" s="1"/>
  <c r="Q39" i="7"/>
  <c r="R39" i="7" s="1"/>
  <c r="Q37" i="7"/>
  <c r="R37" i="7" s="1"/>
  <c r="R42" i="7"/>
  <c r="R40" i="7"/>
  <c r="Q57" i="7"/>
  <c r="R57" i="7" s="1"/>
  <c r="Q53" i="7"/>
  <c r="R53" i="7" s="1"/>
  <c r="Q69" i="7"/>
  <c r="R69" i="7" s="1"/>
  <c r="Q65" i="7"/>
  <c r="S65" i="7" s="1"/>
  <c r="Q63" i="7"/>
  <c r="R63" i="7" s="1"/>
  <c r="R70" i="7"/>
  <c r="R68" i="7"/>
  <c r="Q56" i="7"/>
  <c r="R41" i="7"/>
  <c r="Q66" i="7"/>
  <c r="Q52" i="7"/>
  <c r="Q54" i="7"/>
  <c r="Q44" i="7"/>
  <c r="S44" i="7" s="1"/>
  <c r="S36" i="7"/>
  <c r="S18" i="7"/>
  <c r="R38" i="7"/>
  <c r="R46" i="7"/>
  <c r="Q59" i="7"/>
  <c r="R59" i="7" s="1"/>
  <c r="Q55" i="7"/>
  <c r="R55" i="7" s="1"/>
  <c r="Q67" i="7"/>
  <c r="R67" i="7" s="1"/>
  <c r="R64" i="7"/>
  <c r="R71" i="7"/>
  <c r="S71" i="7"/>
  <c r="R45" i="7"/>
  <c r="S45" i="7"/>
  <c r="S41" i="7"/>
  <c r="R88" i="5"/>
  <c r="T88" i="5" s="1"/>
  <c r="R86" i="5"/>
  <c r="R84" i="5"/>
  <c r="T84" i="5" s="1"/>
  <c r="R82" i="5"/>
  <c r="R80" i="5"/>
  <c r="T80" i="5" s="1"/>
  <c r="R78" i="5"/>
  <c r="R76" i="5"/>
  <c r="T76" i="5" s="1"/>
  <c r="R74" i="5"/>
  <c r="R72" i="5"/>
  <c r="T72" i="5" s="1"/>
  <c r="R70" i="5"/>
  <c r="S70" i="5" s="1"/>
  <c r="T51" i="5"/>
  <c r="S51" i="5"/>
  <c r="T47" i="5"/>
  <c r="S47" i="5"/>
  <c r="T43" i="5"/>
  <c r="S43" i="5"/>
  <c r="T39" i="5"/>
  <c r="S39" i="5"/>
  <c r="T35" i="5"/>
  <c r="S35" i="5"/>
  <c r="T31" i="5"/>
  <c r="S31" i="5"/>
  <c r="T28" i="5"/>
  <c r="S28" i="5"/>
  <c r="T26" i="5"/>
  <c r="S26" i="5"/>
  <c r="T24" i="5"/>
  <c r="S24" i="5"/>
  <c r="T22" i="5"/>
  <c r="S22" i="5"/>
  <c r="T20" i="5"/>
  <c r="S20" i="5"/>
  <c r="T18" i="5"/>
  <c r="S18" i="5"/>
  <c r="T16" i="5"/>
  <c r="S16" i="5"/>
  <c r="T14" i="5"/>
  <c r="S14" i="5"/>
  <c r="T12" i="5"/>
  <c r="S12" i="5"/>
  <c r="T10" i="5"/>
  <c r="S10" i="5"/>
  <c r="T58" i="5"/>
  <c r="T56" i="5"/>
  <c r="R69" i="5"/>
  <c r="T69" i="5" s="1"/>
  <c r="R63" i="5"/>
  <c r="R79" i="5"/>
  <c r="S79" i="5" s="1"/>
  <c r="S57" i="5"/>
  <c r="S89" i="5"/>
  <c r="R75" i="5"/>
  <c r="T75" i="5" s="1"/>
  <c r="R90" i="5"/>
  <c r="T90" i="5" s="1"/>
  <c r="R52" i="5"/>
  <c r="T49" i="5"/>
  <c r="S49" i="5"/>
  <c r="T45" i="5"/>
  <c r="S45" i="5"/>
  <c r="T41" i="5"/>
  <c r="S41" i="5"/>
  <c r="T37" i="5"/>
  <c r="S37" i="5"/>
  <c r="T33" i="5"/>
  <c r="S33" i="5"/>
  <c r="T29" i="5"/>
  <c r="S29" i="5"/>
  <c r="T27" i="5"/>
  <c r="S27" i="5"/>
  <c r="T25" i="5"/>
  <c r="S25" i="5"/>
  <c r="T23" i="5"/>
  <c r="S23" i="5"/>
  <c r="T21" i="5"/>
  <c r="S21" i="5"/>
  <c r="T19" i="5"/>
  <c r="S19" i="5"/>
  <c r="T17" i="5"/>
  <c r="S17" i="5"/>
  <c r="T15" i="5"/>
  <c r="S15" i="5"/>
  <c r="T13" i="5"/>
  <c r="S13" i="5"/>
  <c r="T11" i="5"/>
  <c r="S11" i="5"/>
  <c r="T9" i="5"/>
  <c r="T59" i="5"/>
  <c r="S59" i="5"/>
  <c r="T57" i="5"/>
  <c r="T50" i="5"/>
  <c r="S50" i="5"/>
  <c r="T48" i="5"/>
  <c r="S48" i="5"/>
  <c r="T46" i="5"/>
  <c r="S46" i="5"/>
  <c r="T44" i="5"/>
  <c r="S44" i="5"/>
  <c r="T42" i="5"/>
  <c r="S42" i="5"/>
  <c r="T40" i="5"/>
  <c r="S40" i="5"/>
  <c r="T38" i="5"/>
  <c r="S38" i="5"/>
  <c r="T36" i="5"/>
  <c r="S36" i="5"/>
  <c r="T34" i="5"/>
  <c r="S34" i="5"/>
  <c r="T32" i="5"/>
  <c r="S32" i="5"/>
  <c r="T30" i="5"/>
  <c r="S30" i="5"/>
  <c r="S55" i="5"/>
  <c r="R64" i="5"/>
  <c r="R87" i="5"/>
  <c r="S87" i="5" s="1"/>
  <c r="R71" i="5"/>
  <c r="S71" i="5" s="1"/>
  <c r="S58" i="5"/>
  <c r="S56" i="5"/>
  <c r="R83" i="5"/>
  <c r="T55" i="5"/>
  <c r="T8" i="5"/>
  <c r="V10" i="4"/>
  <c r="V7" i="4"/>
  <c r="V19" i="4"/>
  <c r="U19" i="4"/>
  <c r="V13" i="4" l="1"/>
  <c r="V1006" i="2"/>
  <c r="T73" i="5"/>
  <c r="U1006" i="2"/>
  <c r="W446" i="1"/>
  <c r="R65" i="7"/>
  <c r="C11" i="10"/>
  <c r="S59" i="7"/>
  <c r="T85" i="5"/>
  <c r="T77" i="5"/>
  <c r="B12" i="10"/>
  <c r="S53" i="7"/>
  <c r="R78" i="7"/>
  <c r="S39" i="7"/>
  <c r="T20" i="4"/>
  <c r="V14" i="4"/>
  <c r="R47" i="7"/>
  <c r="S55" i="7"/>
  <c r="S63" i="7"/>
  <c r="G15" i="10"/>
  <c r="S43" i="7"/>
  <c r="S57" i="7"/>
  <c r="S81" i="5"/>
  <c r="V18" i="4"/>
  <c r="V20" i="4" s="1"/>
  <c r="R79" i="7"/>
  <c r="S37" i="7"/>
  <c r="S69" i="7"/>
  <c r="Q80" i="7"/>
  <c r="S67" i="7"/>
  <c r="T52" i="5"/>
  <c r="D9" i="10"/>
  <c r="Q7" i="9"/>
  <c r="F20" i="10" s="1"/>
  <c r="R7" i="9"/>
  <c r="E20" i="10"/>
  <c r="S80" i="7"/>
  <c r="R58" i="7"/>
  <c r="S54" i="7"/>
  <c r="R54" i="7"/>
  <c r="R66" i="7"/>
  <c r="S66" i="7"/>
  <c r="Q72" i="7"/>
  <c r="R31" i="7"/>
  <c r="Q60" i="7"/>
  <c r="R52" i="7"/>
  <c r="S52" i="7"/>
  <c r="S56" i="7"/>
  <c r="R56" i="7"/>
  <c r="Q48" i="7"/>
  <c r="R44" i="7"/>
  <c r="S11" i="7"/>
  <c r="S15" i="7"/>
  <c r="S19" i="7"/>
  <c r="S12" i="7"/>
  <c r="S22" i="7"/>
  <c r="S13" i="7"/>
  <c r="S17" i="7"/>
  <c r="S20" i="7"/>
  <c r="S24" i="7"/>
  <c r="S9" i="7"/>
  <c r="S10" i="7"/>
  <c r="S83" i="5"/>
  <c r="S74" i="5"/>
  <c r="S82" i="5"/>
  <c r="S78" i="5"/>
  <c r="S86" i="5"/>
  <c r="S64" i="5"/>
  <c r="T64" i="5"/>
  <c r="S63" i="5"/>
  <c r="T63" i="5"/>
  <c r="S52" i="5"/>
  <c r="T83" i="5"/>
  <c r="T70" i="5"/>
  <c r="S72" i="5"/>
  <c r="T74" i="5"/>
  <c r="S76" i="5"/>
  <c r="T78" i="5"/>
  <c r="S80" i="5"/>
  <c r="T82" i="5"/>
  <c r="S84" i="5"/>
  <c r="T86" i="5"/>
  <c r="S88" i="5"/>
  <c r="S62" i="5"/>
  <c r="S54" i="5"/>
  <c r="S60" i="5" s="1"/>
  <c r="R60" i="5"/>
  <c r="T54" i="5"/>
  <c r="T60" i="5" s="1"/>
  <c r="S69" i="5"/>
  <c r="R91" i="5"/>
  <c r="D11" i="10"/>
  <c r="S90" i="5"/>
  <c r="S75" i="5"/>
  <c r="T71" i="5"/>
  <c r="T79" i="5"/>
  <c r="T87" i="5"/>
  <c r="R65" i="5"/>
  <c r="V9" i="4"/>
  <c r="U20" i="4"/>
  <c r="V8" i="4"/>
  <c r="T16" i="4"/>
  <c r="T22" i="4" l="1"/>
  <c r="E9" i="10" s="1"/>
  <c r="R72" i="7"/>
  <c r="T65" i="5"/>
  <c r="T67" i="5" s="1"/>
  <c r="R80" i="7"/>
  <c r="R48" i="7"/>
  <c r="S48" i="7"/>
  <c r="S72" i="7"/>
  <c r="R67" i="5"/>
  <c r="R93" i="5" s="1"/>
  <c r="E11" i="10" s="1"/>
  <c r="S65" i="5"/>
  <c r="S67" i="5" s="1"/>
  <c r="U16" i="4"/>
  <c r="V16" i="4"/>
  <c r="D12" i="10"/>
  <c r="G20" i="10"/>
  <c r="Q74" i="7"/>
  <c r="S60" i="7"/>
  <c r="R60" i="7"/>
  <c r="T91" i="5"/>
  <c r="S91" i="5"/>
  <c r="R74" i="7" l="1"/>
  <c r="S93" i="5"/>
  <c r="T93" i="5"/>
  <c r="G11" i="10" s="1"/>
  <c r="V22" i="4"/>
  <c r="G9" i="10" s="1"/>
  <c r="U22" i="4"/>
  <c r="F9" i="10" s="1"/>
  <c r="F11" i="10"/>
  <c r="S74" i="7"/>
  <c r="G18" i="3" l="1"/>
  <c r="W18" i="3" s="1"/>
  <c r="G23" i="3"/>
  <c r="W23" i="3" s="1"/>
  <c r="W247" i="3"/>
  <c r="W246" i="3"/>
  <c r="W245" i="3"/>
  <c r="W244" i="3"/>
  <c r="W243" i="3"/>
  <c r="W242" i="3"/>
  <c r="W241" i="3"/>
  <c r="W240" i="3"/>
  <c r="W239" i="3"/>
  <c r="W238" i="3"/>
  <c r="W237" i="3"/>
  <c r="W236" i="3"/>
  <c r="W235" i="3"/>
  <c r="W234" i="3"/>
  <c r="W233" i="3"/>
  <c r="W232" i="3"/>
  <c r="O48" i="3"/>
  <c r="N46" i="3"/>
  <c r="W45" i="3"/>
  <c r="S45" i="3" s="1"/>
  <c r="T45" i="3" s="1"/>
  <c r="N43" i="3"/>
  <c r="Q42" i="3"/>
  <c r="G42" i="3"/>
  <c r="W42" i="3" s="1"/>
  <c r="Q41" i="3"/>
  <c r="G41" i="3"/>
  <c r="W41" i="3" s="1"/>
  <c r="Q40" i="3"/>
  <c r="G40" i="3"/>
  <c r="W40" i="3" s="1"/>
  <c r="N36" i="3"/>
  <c r="Q35" i="3"/>
  <c r="G35" i="3"/>
  <c r="W35" i="3" s="1"/>
  <c r="Q34" i="3"/>
  <c r="G34" i="3"/>
  <c r="W34" i="3" s="1"/>
  <c r="Q33" i="3"/>
  <c r="G33" i="3"/>
  <c r="W33" i="3" s="1"/>
  <c r="N31" i="3"/>
  <c r="Q30" i="3"/>
  <c r="G30" i="3"/>
  <c r="W30" i="3" s="1"/>
  <c r="Q29" i="3"/>
  <c r="G29" i="3"/>
  <c r="W29" i="3" s="1"/>
  <c r="Q28" i="3"/>
  <c r="G28" i="3"/>
  <c r="W28" i="3" s="1"/>
  <c r="G27" i="3"/>
  <c r="W27" i="3" s="1"/>
  <c r="Q26" i="3"/>
  <c r="G26" i="3"/>
  <c r="W26" i="3" s="1"/>
  <c r="Q25" i="3"/>
  <c r="G25" i="3"/>
  <c r="W25" i="3" s="1"/>
  <c r="Q24" i="3"/>
  <c r="G24" i="3"/>
  <c r="W24" i="3" s="1"/>
  <c r="Q23" i="3"/>
  <c r="G22" i="3"/>
  <c r="W22" i="3" s="1"/>
  <c r="G21" i="3"/>
  <c r="W21" i="3" s="1"/>
  <c r="Q20" i="3"/>
  <c r="G20" i="3"/>
  <c r="W20" i="3" s="1"/>
  <c r="Q19" i="3"/>
  <c r="G19" i="3"/>
  <c r="W19" i="3" s="1"/>
  <c r="Q18" i="3"/>
  <c r="G17" i="3"/>
  <c r="W17" i="3" s="1"/>
  <c r="G16" i="3"/>
  <c r="W16" i="3" s="1"/>
  <c r="Q15" i="3"/>
  <c r="G15" i="3"/>
  <c r="W15" i="3" s="1"/>
  <c r="G14" i="3"/>
  <c r="W14" i="3" s="1"/>
  <c r="Q13" i="3"/>
  <c r="G13" i="3"/>
  <c r="W13" i="3" s="1"/>
  <c r="Q12" i="3"/>
  <c r="G12" i="3"/>
  <c r="W12" i="3" s="1"/>
  <c r="Q11" i="3"/>
  <c r="G11" i="3"/>
  <c r="Q10" i="3"/>
  <c r="G10" i="3"/>
  <c r="W10" i="3" s="1"/>
  <c r="Q9" i="3"/>
  <c r="G9" i="3"/>
  <c r="W9" i="3" s="1"/>
  <c r="G8" i="3"/>
  <c r="W8" i="3" s="1"/>
  <c r="Q7" i="3"/>
  <c r="G7" i="3"/>
  <c r="W7" i="3" s="1"/>
  <c r="N684" i="2"/>
  <c r="R921" i="2"/>
  <c r="R920" i="2"/>
  <c r="P926" i="2"/>
  <c r="O926" i="2"/>
  <c r="O888" i="2"/>
  <c r="P888" i="2"/>
  <c r="N888" i="2"/>
  <c r="R887" i="2"/>
  <c r="R886" i="2"/>
  <c r="R885" i="2"/>
  <c r="O769" i="2"/>
  <c r="P769" i="2"/>
  <c r="R726" i="2"/>
  <c r="R725" i="2"/>
  <c r="O737" i="2"/>
  <c r="P737" i="2"/>
  <c r="N737" i="2"/>
  <c r="O704" i="2"/>
  <c r="P704" i="2"/>
  <c r="N704" i="2"/>
  <c r="O411" i="2"/>
  <c r="P411" i="2"/>
  <c r="O331" i="2"/>
  <c r="O333" i="2" s="1"/>
  <c r="P331" i="2"/>
  <c r="N331" i="2"/>
  <c r="N333" i="2" s="1"/>
  <c r="G29" i="2"/>
  <c r="G28" i="2"/>
  <c r="R964" i="2"/>
  <c r="R963" i="2"/>
  <c r="R962" i="2"/>
  <c r="R961" i="2"/>
  <c r="R960" i="2"/>
  <c r="R959" i="2"/>
  <c r="R958" i="2"/>
  <c r="R957" i="2"/>
  <c r="R956" i="2"/>
  <c r="R955" i="2"/>
  <c r="R954" i="2"/>
  <c r="R953" i="2"/>
  <c r="R952" i="2"/>
  <c r="R951" i="2"/>
  <c r="R950" i="2"/>
  <c r="N948" i="2"/>
  <c r="R947" i="2"/>
  <c r="R946" i="2"/>
  <c r="N944" i="2"/>
  <c r="R943" i="2"/>
  <c r="R944" i="2" s="1"/>
  <c r="N940" i="2"/>
  <c r="R939" i="2"/>
  <c r="R938" i="2"/>
  <c r="R937" i="2"/>
  <c r="R936" i="2"/>
  <c r="R935" i="2"/>
  <c r="R934" i="2"/>
  <c r="R933" i="2"/>
  <c r="N930" i="2"/>
  <c r="R929" i="2"/>
  <c r="G929" i="2"/>
  <c r="R928" i="2"/>
  <c r="G928" i="2"/>
  <c r="N922" i="2"/>
  <c r="N918" i="2"/>
  <c r="R917" i="2"/>
  <c r="R916" i="2"/>
  <c r="R915" i="2"/>
  <c r="N913" i="2"/>
  <c r="R912" i="2"/>
  <c r="R911" i="2"/>
  <c r="R910" i="2"/>
  <c r="R909" i="2"/>
  <c r="R908" i="2"/>
  <c r="R907" i="2"/>
  <c r="R906" i="2"/>
  <c r="N904" i="2"/>
  <c r="R903" i="2"/>
  <c r="R902" i="2"/>
  <c r="N900" i="2"/>
  <c r="R899" i="2"/>
  <c r="R898" i="2"/>
  <c r="N896" i="2"/>
  <c r="R895" i="2"/>
  <c r="R894" i="2"/>
  <c r="P883" i="2"/>
  <c r="O883" i="2"/>
  <c r="R882" i="2"/>
  <c r="R881" i="2"/>
  <c r="R880" i="2"/>
  <c r="R879" i="2"/>
  <c r="R878" i="2"/>
  <c r="R877" i="2"/>
  <c r="R876" i="2"/>
  <c r="R875" i="2"/>
  <c r="R874" i="2"/>
  <c r="R873" i="2"/>
  <c r="R872" i="2"/>
  <c r="R871" i="2"/>
  <c r="R870" i="2"/>
  <c r="R869" i="2"/>
  <c r="R868" i="2"/>
  <c r="R867" i="2"/>
  <c r="R866" i="2"/>
  <c r="R865" i="2"/>
  <c r="R864" i="2"/>
  <c r="R863" i="2"/>
  <c r="R862" i="2"/>
  <c r="R861" i="2"/>
  <c r="R860" i="2"/>
  <c r="R859" i="2"/>
  <c r="R858" i="2"/>
  <c r="R857" i="2"/>
  <c r="R856" i="2"/>
  <c r="R855" i="2"/>
  <c r="R854" i="2"/>
  <c r="R853" i="2"/>
  <c r="R852" i="2"/>
  <c r="R851" i="2"/>
  <c r="R850" i="2"/>
  <c r="R849" i="2"/>
  <c r="R848" i="2"/>
  <c r="R847" i="2"/>
  <c r="R846" i="2"/>
  <c r="N845" i="2"/>
  <c r="N844" i="2"/>
  <c r="N843" i="2"/>
  <c r="N842" i="2"/>
  <c r="N841" i="2"/>
  <c r="R840" i="2"/>
  <c r="R839" i="2"/>
  <c r="R838" i="2"/>
  <c r="R837" i="2"/>
  <c r="R836" i="2"/>
  <c r="R835" i="2"/>
  <c r="R834" i="2"/>
  <c r="R833" i="2"/>
  <c r="R832" i="2"/>
  <c r="R831" i="2"/>
  <c r="R830" i="2"/>
  <c r="R829" i="2"/>
  <c r="R828" i="2"/>
  <c r="R827" i="2"/>
  <c r="R826" i="2"/>
  <c r="R825" i="2"/>
  <c r="R824" i="2"/>
  <c r="R823" i="2"/>
  <c r="R822" i="2"/>
  <c r="R821" i="2"/>
  <c r="R820" i="2"/>
  <c r="R819" i="2"/>
  <c r="R818" i="2"/>
  <c r="R817" i="2"/>
  <c r="R816" i="2"/>
  <c r="R815" i="2"/>
  <c r="R814" i="2"/>
  <c r="R813" i="2"/>
  <c r="R812" i="2"/>
  <c r="R811" i="2"/>
  <c r="R810" i="2"/>
  <c r="R809" i="2"/>
  <c r="R808" i="2"/>
  <c r="R807" i="2"/>
  <c r="R806" i="2"/>
  <c r="R805" i="2"/>
  <c r="R804" i="2"/>
  <c r="R803" i="2"/>
  <c r="R802" i="2"/>
  <c r="R801" i="2"/>
  <c r="R800" i="2"/>
  <c r="R799" i="2"/>
  <c r="R798" i="2"/>
  <c r="R797" i="2"/>
  <c r="R796" i="2"/>
  <c r="R795" i="2"/>
  <c r="R794" i="2"/>
  <c r="R793" i="2"/>
  <c r="R792" i="2"/>
  <c r="N790" i="2"/>
  <c r="R789" i="2"/>
  <c r="R788" i="2"/>
  <c r="R787" i="2"/>
  <c r="R786" i="2"/>
  <c r="R785" i="2"/>
  <c r="R784" i="2"/>
  <c r="R783" i="2"/>
  <c r="R782" i="2"/>
  <c r="R781" i="2"/>
  <c r="R780" i="2"/>
  <c r="R779" i="2"/>
  <c r="R778" i="2"/>
  <c r="R777" i="2"/>
  <c r="N775" i="2"/>
  <c r="R774" i="2"/>
  <c r="R773" i="2"/>
  <c r="V768" i="2"/>
  <c r="G768" i="2"/>
  <c r="R767" i="2"/>
  <c r="G767" i="2"/>
  <c r="R766" i="2"/>
  <c r="G766" i="2"/>
  <c r="R765" i="2"/>
  <c r="G765" i="2"/>
  <c r="R764" i="2"/>
  <c r="G764" i="2"/>
  <c r="N763" i="2"/>
  <c r="N769" i="2" s="1"/>
  <c r="R762" i="2"/>
  <c r="G762" i="2"/>
  <c r="R761" i="2"/>
  <c r="G761" i="2"/>
  <c r="R760" i="2"/>
  <c r="G760" i="2"/>
  <c r="R759" i="2"/>
  <c r="G759" i="2"/>
  <c r="R758" i="2"/>
  <c r="G758" i="2"/>
  <c r="R757" i="2"/>
  <c r="G757" i="2"/>
  <c r="R756" i="2"/>
  <c r="R755" i="2"/>
  <c r="G755" i="2"/>
  <c r="R754" i="2"/>
  <c r="G754" i="2"/>
  <c r="R753" i="2"/>
  <c r="G753" i="2"/>
  <c r="R752" i="2"/>
  <c r="G752" i="2"/>
  <c r="R751" i="2"/>
  <c r="G751" i="2"/>
  <c r="R750" i="2"/>
  <c r="R749" i="2"/>
  <c r="R748" i="2"/>
  <c r="R747" i="2"/>
  <c r="R746" i="2"/>
  <c r="R745" i="2"/>
  <c r="R744" i="2"/>
  <c r="R743" i="2"/>
  <c r="R742" i="2"/>
  <c r="R741" i="2"/>
  <c r="R736" i="2"/>
  <c r="G736" i="2"/>
  <c r="R735" i="2"/>
  <c r="G735" i="2"/>
  <c r="R734" i="2"/>
  <c r="G734" i="2"/>
  <c r="R733" i="2"/>
  <c r="G733" i="2"/>
  <c r="R732" i="2"/>
  <c r="G732" i="2"/>
  <c r="R731" i="2"/>
  <c r="G731" i="2"/>
  <c r="R730" i="2"/>
  <c r="G730" i="2"/>
  <c r="R729" i="2"/>
  <c r="G729" i="2"/>
  <c r="R728" i="2"/>
  <c r="G728" i="2"/>
  <c r="R727" i="2"/>
  <c r="G727" i="2"/>
  <c r="G726" i="2"/>
  <c r="G725" i="2"/>
  <c r="R724" i="2"/>
  <c r="G724" i="2"/>
  <c r="R723" i="2"/>
  <c r="G723" i="2"/>
  <c r="R722" i="2"/>
  <c r="G722" i="2"/>
  <c r="R721" i="2"/>
  <c r="G721" i="2"/>
  <c r="R720" i="2"/>
  <c r="G720" i="2"/>
  <c r="R719" i="2"/>
  <c r="G719" i="2"/>
  <c r="R718" i="2"/>
  <c r="G718" i="2"/>
  <c r="R717" i="2"/>
  <c r="G717" i="2"/>
  <c r="R716" i="2"/>
  <c r="G716" i="2"/>
  <c r="R715" i="2"/>
  <c r="G715" i="2"/>
  <c r="R714" i="2"/>
  <c r="G714" i="2"/>
  <c r="R713" i="2"/>
  <c r="G713" i="2"/>
  <c r="R712" i="2"/>
  <c r="G712" i="2"/>
  <c r="R711" i="2"/>
  <c r="G711" i="2"/>
  <c r="R710" i="2"/>
  <c r="G710" i="2"/>
  <c r="R709" i="2"/>
  <c r="G709" i="2"/>
  <c r="R708" i="2"/>
  <c r="G708" i="2"/>
  <c r="R703" i="2"/>
  <c r="G703" i="2"/>
  <c r="R702" i="2"/>
  <c r="G702" i="2"/>
  <c r="R701" i="2"/>
  <c r="G701" i="2"/>
  <c r="R700" i="2"/>
  <c r="G700" i="2"/>
  <c r="R699" i="2"/>
  <c r="G699" i="2"/>
  <c r="R698" i="2"/>
  <c r="G698" i="2"/>
  <c r="R697" i="2"/>
  <c r="G697" i="2"/>
  <c r="R696" i="2"/>
  <c r="G696" i="2"/>
  <c r="R695" i="2"/>
  <c r="G695" i="2"/>
  <c r="R694" i="2"/>
  <c r="G694" i="2"/>
  <c r="R693" i="2"/>
  <c r="G693" i="2"/>
  <c r="R692" i="2"/>
  <c r="G692" i="2"/>
  <c r="R691" i="2"/>
  <c r="G691" i="2"/>
  <c r="R690" i="2"/>
  <c r="R689" i="2"/>
  <c r="R683" i="2"/>
  <c r="G683" i="2"/>
  <c r="Z683" i="2" s="1"/>
  <c r="AA684" i="2" s="1"/>
  <c r="R682" i="2"/>
  <c r="G682" i="2"/>
  <c r="R681" i="2"/>
  <c r="G681" i="2"/>
  <c r="R680" i="2"/>
  <c r="G680" i="2"/>
  <c r="R679" i="2"/>
  <c r="G679" i="2"/>
  <c r="R678" i="2"/>
  <c r="G678" i="2"/>
  <c r="R677" i="2"/>
  <c r="G677" i="2"/>
  <c r="R676" i="2"/>
  <c r="G676" i="2"/>
  <c r="R675" i="2"/>
  <c r="G675" i="2"/>
  <c r="R674" i="2"/>
  <c r="G674" i="2"/>
  <c r="R673" i="2"/>
  <c r="G673" i="2"/>
  <c r="R672" i="2"/>
  <c r="G672" i="2"/>
  <c r="R671" i="2"/>
  <c r="G671" i="2"/>
  <c r="R670" i="2"/>
  <c r="G670" i="2"/>
  <c r="R669" i="2"/>
  <c r="G669" i="2"/>
  <c r="R668" i="2"/>
  <c r="G668" i="2"/>
  <c r="R667" i="2"/>
  <c r="G667" i="2"/>
  <c r="R666" i="2"/>
  <c r="G666" i="2"/>
  <c r="R665" i="2"/>
  <c r="G665" i="2"/>
  <c r="R664" i="2"/>
  <c r="G664" i="2"/>
  <c r="R663" i="2"/>
  <c r="G663" i="2"/>
  <c r="R662" i="2"/>
  <c r="G662" i="2"/>
  <c r="R661" i="2"/>
  <c r="G661" i="2"/>
  <c r="R660" i="2"/>
  <c r="G660" i="2"/>
  <c r="R659" i="2"/>
  <c r="G659" i="2"/>
  <c r="R658" i="2"/>
  <c r="G658" i="2"/>
  <c r="R657" i="2"/>
  <c r="G657" i="2"/>
  <c r="R656" i="2"/>
  <c r="G656" i="2"/>
  <c r="R655" i="2"/>
  <c r="G655" i="2"/>
  <c r="R654" i="2"/>
  <c r="G654" i="2"/>
  <c r="R653" i="2"/>
  <c r="G653" i="2"/>
  <c r="R652" i="2"/>
  <c r="G652" i="2"/>
  <c r="R651" i="2"/>
  <c r="G651" i="2"/>
  <c r="R650" i="2"/>
  <c r="G650" i="2"/>
  <c r="R649" i="2"/>
  <c r="G649" i="2"/>
  <c r="R648" i="2"/>
  <c r="G648" i="2"/>
  <c r="R647" i="2"/>
  <c r="G647" i="2"/>
  <c r="R646" i="2"/>
  <c r="G646" i="2"/>
  <c r="G645" i="2"/>
  <c r="R644" i="2"/>
  <c r="G644" i="2"/>
  <c r="R643" i="2"/>
  <c r="G643" i="2"/>
  <c r="R642" i="2"/>
  <c r="G642" i="2"/>
  <c r="R641" i="2"/>
  <c r="G641" i="2"/>
  <c r="R640" i="2"/>
  <c r="G640" i="2"/>
  <c r="R639" i="2"/>
  <c r="G639" i="2"/>
  <c r="R638" i="2"/>
  <c r="G638" i="2"/>
  <c r="R637" i="2"/>
  <c r="G637" i="2"/>
  <c r="R636" i="2"/>
  <c r="G636" i="2"/>
  <c r="R635" i="2"/>
  <c r="G635" i="2"/>
  <c r="R634" i="2"/>
  <c r="G634" i="2"/>
  <c r="R633" i="2"/>
  <c r="G633" i="2"/>
  <c r="R632" i="2"/>
  <c r="G632" i="2"/>
  <c r="R631" i="2"/>
  <c r="G631" i="2"/>
  <c r="R630" i="2"/>
  <c r="G630" i="2"/>
  <c r="R629" i="2"/>
  <c r="G629" i="2"/>
  <c r="R628" i="2"/>
  <c r="G628" i="2"/>
  <c r="R627" i="2"/>
  <c r="G627" i="2"/>
  <c r="R626" i="2"/>
  <c r="G626" i="2"/>
  <c r="R625" i="2"/>
  <c r="G625" i="2"/>
  <c r="R624" i="2"/>
  <c r="G624" i="2"/>
  <c r="R623" i="2"/>
  <c r="G623" i="2"/>
  <c r="R622" i="2"/>
  <c r="G622" i="2"/>
  <c r="R621" i="2"/>
  <c r="G621" i="2"/>
  <c r="R620" i="2"/>
  <c r="G620" i="2"/>
  <c r="R619" i="2"/>
  <c r="G619" i="2"/>
  <c r="R618" i="2"/>
  <c r="G618" i="2"/>
  <c r="R617" i="2"/>
  <c r="G617" i="2"/>
  <c r="R616" i="2"/>
  <c r="G616" i="2"/>
  <c r="R615" i="2"/>
  <c r="G615" i="2"/>
  <c r="R614" i="2"/>
  <c r="G614" i="2"/>
  <c r="R613" i="2"/>
  <c r="G613" i="2"/>
  <c r="R612" i="2"/>
  <c r="G612" i="2"/>
  <c r="R611" i="2"/>
  <c r="G611" i="2"/>
  <c r="R610" i="2"/>
  <c r="G610" i="2"/>
  <c r="R600" i="2"/>
  <c r="G600" i="2"/>
  <c r="R599" i="2"/>
  <c r="G599" i="2"/>
  <c r="R598" i="2"/>
  <c r="G598" i="2"/>
  <c r="R597" i="2"/>
  <c r="G597" i="2"/>
  <c r="R596" i="2"/>
  <c r="G596" i="2"/>
  <c r="R595" i="2"/>
  <c r="G595" i="2"/>
  <c r="R594" i="2"/>
  <c r="G594" i="2"/>
  <c r="R593" i="2"/>
  <c r="G593" i="2"/>
  <c r="R592" i="2"/>
  <c r="G592" i="2"/>
  <c r="R591" i="2"/>
  <c r="G591" i="2"/>
  <c r="R590" i="2"/>
  <c r="G590" i="2"/>
  <c r="R589" i="2"/>
  <c r="G589" i="2"/>
  <c r="R588" i="2"/>
  <c r="G588" i="2"/>
  <c r="R587" i="2"/>
  <c r="G587" i="2"/>
  <c r="R586" i="2"/>
  <c r="G586" i="2"/>
  <c r="R585" i="2"/>
  <c r="G585" i="2"/>
  <c r="R584" i="2"/>
  <c r="G584" i="2"/>
  <c r="R583" i="2"/>
  <c r="G583" i="2"/>
  <c r="R582" i="2"/>
  <c r="G582" i="2"/>
  <c r="R581" i="2"/>
  <c r="G581" i="2"/>
  <c r="R580" i="2"/>
  <c r="G580" i="2"/>
  <c r="R579" i="2"/>
  <c r="G579" i="2"/>
  <c r="R578" i="2"/>
  <c r="G578" i="2"/>
  <c r="R577" i="2"/>
  <c r="G577" i="2"/>
  <c r="R576" i="2"/>
  <c r="G576" i="2"/>
  <c r="R575" i="2"/>
  <c r="G575" i="2"/>
  <c r="R574" i="2"/>
  <c r="G574" i="2"/>
  <c r="R573" i="2"/>
  <c r="G573" i="2"/>
  <c r="R572" i="2"/>
  <c r="G572" i="2"/>
  <c r="R571" i="2"/>
  <c r="G571" i="2"/>
  <c r="R570" i="2"/>
  <c r="G570" i="2"/>
  <c r="R569" i="2"/>
  <c r="G569" i="2"/>
  <c r="R568" i="2"/>
  <c r="G568" i="2"/>
  <c r="R567" i="2"/>
  <c r="G567" i="2"/>
  <c r="R566" i="2"/>
  <c r="G566" i="2"/>
  <c r="R565" i="2"/>
  <c r="G565" i="2"/>
  <c r="R564" i="2"/>
  <c r="G564" i="2"/>
  <c r="R563" i="2"/>
  <c r="G563" i="2"/>
  <c r="R562" i="2"/>
  <c r="G562" i="2"/>
  <c r="R561" i="2"/>
  <c r="G561" i="2"/>
  <c r="R560" i="2"/>
  <c r="G560" i="2"/>
  <c r="R559" i="2"/>
  <c r="G559" i="2"/>
  <c r="R558" i="2"/>
  <c r="G558" i="2"/>
  <c r="R557" i="2"/>
  <c r="G557" i="2"/>
  <c r="R556" i="2"/>
  <c r="G556" i="2"/>
  <c r="R555" i="2"/>
  <c r="G555" i="2"/>
  <c r="R554" i="2"/>
  <c r="G554" i="2"/>
  <c r="R553" i="2"/>
  <c r="G553" i="2"/>
  <c r="R552" i="2"/>
  <c r="G552" i="2"/>
  <c r="R551" i="2"/>
  <c r="G551" i="2"/>
  <c r="R550" i="2"/>
  <c r="G550" i="2"/>
  <c r="R549" i="2"/>
  <c r="G549" i="2"/>
  <c r="R548" i="2"/>
  <c r="G548" i="2"/>
  <c r="R547" i="2"/>
  <c r="G547" i="2"/>
  <c r="R546" i="2"/>
  <c r="G546" i="2"/>
  <c r="R545" i="2"/>
  <c r="G545" i="2"/>
  <c r="R544" i="2"/>
  <c r="G544" i="2"/>
  <c r="R543" i="2"/>
  <c r="G543" i="2"/>
  <c r="R542" i="2"/>
  <c r="G542" i="2"/>
  <c r="R541" i="2"/>
  <c r="G541" i="2"/>
  <c r="R540" i="2"/>
  <c r="G540" i="2"/>
  <c r="R539" i="2"/>
  <c r="G539" i="2"/>
  <c r="R538" i="2"/>
  <c r="G538" i="2"/>
  <c r="R537" i="2"/>
  <c r="G537" i="2"/>
  <c r="R536" i="2"/>
  <c r="G536" i="2"/>
  <c r="R535" i="2"/>
  <c r="G535" i="2"/>
  <c r="R534" i="2"/>
  <c r="G534" i="2"/>
  <c r="R533" i="2"/>
  <c r="G533" i="2"/>
  <c r="R532" i="2"/>
  <c r="G532" i="2"/>
  <c r="R531" i="2"/>
  <c r="G531" i="2"/>
  <c r="R530" i="2"/>
  <c r="G530" i="2"/>
  <c r="R529" i="2"/>
  <c r="G529" i="2"/>
  <c r="R528" i="2"/>
  <c r="G528" i="2"/>
  <c r="R527" i="2"/>
  <c r="G527" i="2"/>
  <c r="R526" i="2"/>
  <c r="G526" i="2"/>
  <c r="R525" i="2"/>
  <c r="G525" i="2"/>
  <c r="R524" i="2"/>
  <c r="G524" i="2"/>
  <c r="R523" i="2"/>
  <c r="G523" i="2"/>
  <c r="R522" i="2"/>
  <c r="G522" i="2"/>
  <c r="R521" i="2"/>
  <c r="G521" i="2"/>
  <c r="R520" i="2"/>
  <c r="G520" i="2"/>
  <c r="R519" i="2"/>
  <c r="G519" i="2"/>
  <c r="R518" i="2"/>
  <c r="G518" i="2"/>
  <c r="R517" i="2"/>
  <c r="G517" i="2"/>
  <c r="R516" i="2"/>
  <c r="G516" i="2"/>
  <c r="R515" i="2"/>
  <c r="G515" i="2"/>
  <c r="R514" i="2"/>
  <c r="G514" i="2"/>
  <c r="R513" i="2"/>
  <c r="G513" i="2"/>
  <c r="R512" i="2"/>
  <c r="G512" i="2"/>
  <c r="R511" i="2"/>
  <c r="G511" i="2"/>
  <c r="R510" i="2"/>
  <c r="G510" i="2"/>
  <c r="R509" i="2"/>
  <c r="G509" i="2"/>
  <c r="R508" i="2"/>
  <c r="G508" i="2"/>
  <c r="R507" i="2"/>
  <c r="G507" i="2"/>
  <c r="R506" i="2"/>
  <c r="G506" i="2"/>
  <c r="R505" i="2"/>
  <c r="G505" i="2"/>
  <c r="R504" i="2"/>
  <c r="G504" i="2"/>
  <c r="R503" i="2"/>
  <c r="G503" i="2"/>
  <c r="R502" i="2"/>
  <c r="G502" i="2"/>
  <c r="R501" i="2"/>
  <c r="G501" i="2"/>
  <c r="R500" i="2"/>
  <c r="G500" i="2"/>
  <c r="R499" i="2"/>
  <c r="G499" i="2"/>
  <c r="R498" i="2"/>
  <c r="G498" i="2"/>
  <c r="R497" i="2"/>
  <c r="G497" i="2"/>
  <c r="R496" i="2"/>
  <c r="G496" i="2"/>
  <c r="R495" i="2"/>
  <c r="G495" i="2"/>
  <c r="R494" i="2"/>
  <c r="G494" i="2"/>
  <c r="R493" i="2"/>
  <c r="G493" i="2"/>
  <c r="R492" i="2"/>
  <c r="G492" i="2"/>
  <c r="R491" i="2"/>
  <c r="G491" i="2"/>
  <c r="R490" i="2"/>
  <c r="G490" i="2"/>
  <c r="R489" i="2"/>
  <c r="G489" i="2"/>
  <c r="R488" i="2"/>
  <c r="G488" i="2"/>
  <c r="R487" i="2"/>
  <c r="G487" i="2"/>
  <c r="R486" i="2"/>
  <c r="G486" i="2"/>
  <c r="R485" i="2"/>
  <c r="G485" i="2"/>
  <c r="R484" i="2"/>
  <c r="G484" i="2"/>
  <c r="R483" i="2"/>
  <c r="G483" i="2"/>
  <c r="R482" i="2"/>
  <c r="G482" i="2"/>
  <c r="R481" i="2"/>
  <c r="G481" i="2"/>
  <c r="R480" i="2"/>
  <c r="G480" i="2"/>
  <c r="R479" i="2"/>
  <c r="G479" i="2"/>
  <c r="R478" i="2"/>
  <c r="G478" i="2"/>
  <c r="R477" i="2"/>
  <c r="G477" i="2"/>
  <c r="R476" i="2"/>
  <c r="G476" i="2"/>
  <c r="R475" i="2"/>
  <c r="G475" i="2"/>
  <c r="R474" i="2"/>
  <c r="G474" i="2"/>
  <c r="R473" i="2"/>
  <c r="G473" i="2"/>
  <c r="R472" i="2"/>
  <c r="G472" i="2"/>
  <c r="R471" i="2"/>
  <c r="G471" i="2"/>
  <c r="R470" i="2"/>
  <c r="G470" i="2"/>
  <c r="R469" i="2"/>
  <c r="G469" i="2"/>
  <c r="R468" i="2"/>
  <c r="G468" i="2"/>
  <c r="R467" i="2"/>
  <c r="G467" i="2"/>
  <c r="R466" i="2"/>
  <c r="G466" i="2"/>
  <c r="R465" i="2"/>
  <c r="G465" i="2"/>
  <c r="R464" i="2"/>
  <c r="G464" i="2"/>
  <c r="R463" i="2"/>
  <c r="G463" i="2"/>
  <c r="R462" i="2"/>
  <c r="G462" i="2"/>
  <c r="R461" i="2"/>
  <c r="G461" i="2"/>
  <c r="R460" i="2"/>
  <c r="G460" i="2"/>
  <c r="R459" i="2"/>
  <c r="G459" i="2"/>
  <c r="R458" i="2"/>
  <c r="G458" i="2"/>
  <c r="R457" i="2"/>
  <c r="G457" i="2"/>
  <c r="R456" i="2"/>
  <c r="G456" i="2"/>
  <c r="R455" i="2"/>
  <c r="G455" i="2"/>
  <c r="R454" i="2"/>
  <c r="G454" i="2"/>
  <c r="R453" i="2"/>
  <c r="G453" i="2"/>
  <c r="R452" i="2"/>
  <c r="G452" i="2"/>
  <c r="R451" i="2"/>
  <c r="G451" i="2"/>
  <c r="R450" i="2"/>
  <c r="G450" i="2"/>
  <c r="R449" i="2"/>
  <c r="G449" i="2"/>
  <c r="R448" i="2"/>
  <c r="G448" i="2"/>
  <c r="R447" i="2"/>
  <c r="G447" i="2"/>
  <c r="R446" i="2"/>
  <c r="G446" i="2"/>
  <c r="R445" i="2"/>
  <c r="G445" i="2"/>
  <c r="R444" i="2"/>
  <c r="G444" i="2"/>
  <c r="R443" i="2"/>
  <c r="G443" i="2"/>
  <c r="R442" i="2"/>
  <c r="G442" i="2"/>
  <c r="R441" i="2"/>
  <c r="G441" i="2"/>
  <c r="R440" i="2"/>
  <c r="G440" i="2"/>
  <c r="R439" i="2"/>
  <c r="G439" i="2"/>
  <c r="R438" i="2"/>
  <c r="G438" i="2"/>
  <c r="R437" i="2"/>
  <c r="G437" i="2"/>
  <c r="R436" i="2"/>
  <c r="G436" i="2"/>
  <c r="R435" i="2"/>
  <c r="G435" i="2"/>
  <c r="R434" i="2"/>
  <c r="G434" i="2"/>
  <c r="R433" i="2"/>
  <c r="G433" i="2"/>
  <c r="R432" i="2"/>
  <c r="G432" i="2"/>
  <c r="R431" i="2"/>
  <c r="G431" i="2"/>
  <c r="R430" i="2"/>
  <c r="G430" i="2"/>
  <c r="R429" i="2"/>
  <c r="G429" i="2"/>
  <c r="R428" i="2"/>
  <c r="G428" i="2"/>
  <c r="R427" i="2"/>
  <c r="G427" i="2"/>
  <c r="R426" i="2"/>
  <c r="G426" i="2"/>
  <c r="R425" i="2"/>
  <c r="G425" i="2"/>
  <c r="R424" i="2"/>
  <c r="G424" i="2"/>
  <c r="R423" i="2"/>
  <c r="G423" i="2"/>
  <c r="R422" i="2"/>
  <c r="G422" i="2"/>
  <c r="R421" i="2"/>
  <c r="G421" i="2"/>
  <c r="R420" i="2"/>
  <c r="G420" i="2"/>
  <c r="R419" i="2"/>
  <c r="G419" i="2"/>
  <c r="R418" i="2"/>
  <c r="G418" i="2"/>
  <c r="R417" i="2"/>
  <c r="G417" i="2"/>
  <c r="R416" i="2"/>
  <c r="G416" i="2"/>
  <c r="R415" i="2"/>
  <c r="G415" i="2"/>
  <c r="N410" i="2"/>
  <c r="G410" i="2"/>
  <c r="R409" i="2"/>
  <c r="G409" i="2"/>
  <c r="R408" i="2"/>
  <c r="G408" i="2"/>
  <c r="R407" i="2"/>
  <c r="G407" i="2"/>
  <c r="R406" i="2"/>
  <c r="G406" i="2"/>
  <c r="R405" i="2"/>
  <c r="G405" i="2"/>
  <c r="R404" i="2"/>
  <c r="G404" i="2"/>
  <c r="R403" i="2"/>
  <c r="G403" i="2"/>
  <c r="R402" i="2"/>
  <c r="G402" i="2"/>
  <c r="R401" i="2"/>
  <c r="G401" i="2"/>
  <c r="R400" i="2"/>
  <c r="G400" i="2"/>
  <c r="R399" i="2"/>
  <c r="G399" i="2"/>
  <c r="R398" i="2"/>
  <c r="G398" i="2"/>
  <c r="R397" i="2"/>
  <c r="G397" i="2"/>
  <c r="R396" i="2"/>
  <c r="G396" i="2"/>
  <c r="R395" i="2"/>
  <c r="G395" i="2"/>
  <c r="R394" i="2"/>
  <c r="G394" i="2"/>
  <c r="R393" i="2"/>
  <c r="G393" i="2"/>
  <c r="R392" i="2"/>
  <c r="G392" i="2"/>
  <c r="R391" i="2"/>
  <c r="G391" i="2"/>
  <c r="R390" i="2"/>
  <c r="G390" i="2"/>
  <c r="R389" i="2"/>
  <c r="G389" i="2"/>
  <c r="R388" i="2"/>
  <c r="G388" i="2"/>
  <c r="R387" i="2"/>
  <c r="G387" i="2"/>
  <c r="R386" i="2"/>
  <c r="G386" i="2"/>
  <c r="R385" i="2"/>
  <c r="G385" i="2"/>
  <c r="R384" i="2"/>
  <c r="G384" i="2"/>
  <c r="R383" i="2"/>
  <c r="G383" i="2"/>
  <c r="R382" i="2"/>
  <c r="G382" i="2"/>
  <c r="R381" i="2"/>
  <c r="G381" i="2"/>
  <c r="R380" i="2"/>
  <c r="G380" i="2"/>
  <c r="R379" i="2"/>
  <c r="G379" i="2"/>
  <c r="R378" i="2"/>
  <c r="G378" i="2"/>
  <c r="R377" i="2"/>
  <c r="G377" i="2"/>
  <c r="R376" i="2"/>
  <c r="G376" i="2"/>
  <c r="R375" i="2"/>
  <c r="G375" i="2"/>
  <c r="R374" i="2"/>
  <c r="G374" i="2"/>
  <c r="R373" i="2"/>
  <c r="G373" i="2"/>
  <c r="R372" i="2"/>
  <c r="G372" i="2"/>
  <c r="R371" i="2"/>
  <c r="G371" i="2"/>
  <c r="R370" i="2"/>
  <c r="G370" i="2"/>
  <c r="R369" i="2"/>
  <c r="G369" i="2"/>
  <c r="R368" i="2"/>
  <c r="G368" i="2"/>
  <c r="R367" i="2"/>
  <c r="G367" i="2"/>
  <c r="R366" i="2"/>
  <c r="G366" i="2"/>
  <c r="R365" i="2"/>
  <c r="G365" i="2"/>
  <c r="R364" i="2"/>
  <c r="G364" i="2"/>
  <c r="R363" i="2"/>
  <c r="G363" i="2"/>
  <c r="R362" i="2"/>
  <c r="G362" i="2"/>
  <c r="R361" i="2"/>
  <c r="G361" i="2"/>
  <c r="R360" i="2"/>
  <c r="G360" i="2"/>
  <c r="R359" i="2"/>
  <c r="G359" i="2"/>
  <c r="R358" i="2"/>
  <c r="G358" i="2"/>
  <c r="R357" i="2"/>
  <c r="G357" i="2"/>
  <c r="R356" i="2"/>
  <c r="G356" i="2"/>
  <c r="R355" i="2"/>
  <c r="G355" i="2"/>
  <c r="R354" i="2"/>
  <c r="G354" i="2"/>
  <c r="R353" i="2"/>
  <c r="G353" i="2"/>
  <c r="R352" i="2"/>
  <c r="G352" i="2"/>
  <c r="R351" i="2"/>
  <c r="G351" i="2"/>
  <c r="R350" i="2"/>
  <c r="G350" i="2"/>
  <c r="R349" i="2"/>
  <c r="G349" i="2"/>
  <c r="R348" i="2"/>
  <c r="G348" i="2"/>
  <c r="R347" i="2"/>
  <c r="G347" i="2"/>
  <c r="R346" i="2"/>
  <c r="G346" i="2"/>
  <c r="R345" i="2"/>
  <c r="G345" i="2"/>
  <c r="R344" i="2"/>
  <c r="G344" i="2"/>
  <c r="R343" i="2"/>
  <c r="G343" i="2"/>
  <c r="R342" i="2"/>
  <c r="G342" i="2"/>
  <c r="R341" i="2"/>
  <c r="G341" i="2"/>
  <c r="R340" i="2"/>
  <c r="G340" i="2"/>
  <c r="R339" i="2"/>
  <c r="G339" i="2"/>
  <c r="R338" i="2"/>
  <c r="G338" i="2"/>
  <c r="R337" i="2"/>
  <c r="G337" i="2"/>
  <c r="R336" i="2"/>
  <c r="G336" i="2"/>
  <c r="R335" i="2"/>
  <c r="G335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B309" i="2"/>
  <c r="G308" i="2"/>
  <c r="G307" i="2"/>
  <c r="G306" i="2"/>
  <c r="G305" i="2"/>
  <c r="G304" i="2"/>
  <c r="G303" i="2"/>
  <c r="G302" i="2"/>
  <c r="G301" i="2"/>
  <c r="D301" i="2"/>
  <c r="D302" i="2" s="1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V284" i="2"/>
  <c r="G284" i="2"/>
  <c r="G283" i="2"/>
  <c r="G282" i="2"/>
  <c r="V281" i="2"/>
  <c r="G281" i="2"/>
  <c r="V280" i="2"/>
  <c r="G280" i="2"/>
  <c r="V279" i="2"/>
  <c r="G279" i="2"/>
  <c r="V278" i="2"/>
  <c r="G278" i="2"/>
  <c r="G277" i="2"/>
  <c r="G276" i="2"/>
  <c r="V275" i="2"/>
  <c r="G275" i="2"/>
  <c r="V274" i="2"/>
  <c r="G274" i="2"/>
  <c r="V273" i="2"/>
  <c r="G273" i="2"/>
  <c r="V272" i="2"/>
  <c r="G272" i="2"/>
  <c r="V271" i="2"/>
  <c r="G271" i="2"/>
  <c r="V270" i="2"/>
  <c r="G270" i="2"/>
  <c r="V269" i="2"/>
  <c r="G269" i="2"/>
  <c r="V268" i="2"/>
  <c r="G268" i="2"/>
  <c r="V267" i="2"/>
  <c r="G267" i="2"/>
  <c r="V266" i="2"/>
  <c r="G266" i="2"/>
  <c r="V265" i="2"/>
  <c r="G265" i="2"/>
  <c r="V264" i="2"/>
  <c r="G264" i="2"/>
  <c r="V263" i="2"/>
  <c r="G263" i="2"/>
  <c r="V262" i="2"/>
  <c r="G262" i="2"/>
  <c r="G261" i="2"/>
  <c r="G260" i="2"/>
  <c r="V259" i="2"/>
  <c r="G259" i="2"/>
  <c r="G258" i="2"/>
  <c r="V257" i="2"/>
  <c r="G257" i="2"/>
  <c r="V256" i="2"/>
  <c r="G256" i="2"/>
  <c r="V255" i="2"/>
  <c r="G255" i="2"/>
  <c r="V254" i="2"/>
  <c r="G254" i="2"/>
  <c r="V253" i="2"/>
  <c r="G253" i="2"/>
  <c r="V252" i="2"/>
  <c r="G252" i="2"/>
  <c r="V251" i="2"/>
  <c r="G251" i="2"/>
  <c r="V250" i="2"/>
  <c r="G250" i="2"/>
  <c r="V249" i="2"/>
  <c r="G249" i="2"/>
  <c r="V248" i="2"/>
  <c r="G248" i="2"/>
  <c r="G247" i="2"/>
  <c r="V246" i="2"/>
  <c r="G246" i="2"/>
  <c r="G245" i="2"/>
  <c r="V244" i="2"/>
  <c r="G244" i="2"/>
  <c r="V243" i="2"/>
  <c r="G243" i="2"/>
  <c r="G242" i="2"/>
  <c r="G241" i="2"/>
  <c r="V240" i="2"/>
  <c r="G240" i="2"/>
  <c r="V239" i="2"/>
  <c r="G239" i="2"/>
  <c r="V238" i="2"/>
  <c r="G238" i="2"/>
  <c r="G237" i="2"/>
  <c r="G236" i="2"/>
  <c r="G235" i="2"/>
  <c r="V234" i="2"/>
  <c r="G234" i="2"/>
  <c r="V233" i="2"/>
  <c r="G233" i="2"/>
  <c r="V232" i="2"/>
  <c r="G232" i="2"/>
  <c r="V231" i="2"/>
  <c r="G231" i="2"/>
  <c r="V230" i="2"/>
  <c r="G230" i="2"/>
  <c r="V229" i="2"/>
  <c r="G229" i="2"/>
  <c r="V228" i="2"/>
  <c r="G228" i="2"/>
  <c r="V227" i="2"/>
  <c r="G227" i="2"/>
  <c r="V226" i="2"/>
  <c r="G226" i="2"/>
  <c r="V225" i="2"/>
  <c r="G225" i="2"/>
  <c r="G224" i="2"/>
  <c r="V223" i="2"/>
  <c r="G223" i="2"/>
  <c r="G222" i="2"/>
  <c r="V221" i="2"/>
  <c r="G221" i="2"/>
  <c r="V220" i="2"/>
  <c r="G220" i="2"/>
  <c r="G219" i="2"/>
  <c r="G218" i="2"/>
  <c r="G217" i="2"/>
  <c r="G216" i="2"/>
  <c r="V215" i="2"/>
  <c r="G215" i="2"/>
  <c r="V214" i="2"/>
  <c r="G214" i="2"/>
  <c r="V213" i="2"/>
  <c r="G213" i="2"/>
  <c r="G212" i="2"/>
  <c r="B212" i="2"/>
  <c r="G211" i="2"/>
  <c r="G210" i="2"/>
  <c r="V209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V158" i="2"/>
  <c r="G158" i="2"/>
  <c r="G157" i="2"/>
  <c r="G156" i="2"/>
  <c r="G155" i="2"/>
  <c r="G154" i="2"/>
  <c r="G153" i="2"/>
  <c r="G152" i="2"/>
  <c r="V151" i="2"/>
  <c r="G151" i="2"/>
  <c r="G150" i="2"/>
  <c r="G149" i="2"/>
  <c r="V148" i="2"/>
  <c r="G148" i="2"/>
  <c r="G147" i="2"/>
  <c r="G146" i="2"/>
  <c r="V145" i="2"/>
  <c r="G145" i="2"/>
  <c r="G144" i="2"/>
  <c r="G143" i="2"/>
  <c r="G142" i="2"/>
  <c r="G141" i="2"/>
  <c r="G140" i="2"/>
  <c r="G139" i="2"/>
  <c r="V138" i="2"/>
  <c r="G138" i="2"/>
  <c r="V137" i="2"/>
  <c r="G137" i="2"/>
  <c r="G136" i="2"/>
  <c r="G135" i="2"/>
  <c r="G134" i="2"/>
  <c r="G133" i="2"/>
  <c r="G132" i="2"/>
  <c r="G131" i="2"/>
  <c r="V130" i="2"/>
  <c r="G130" i="2"/>
  <c r="G129" i="2"/>
  <c r="G128" i="2"/>
  <c r="G127" i="2"/>
  <c r="G126" i="2"/>
  <c r="V125" i="2"/>
  <c r="G125" i="2"/>
  <c r="V124" i="2"/>
  <c r="G124" i="2"/>
  <c r="G123" i="2"/>
  <c r="G122" i="2"/>
  <c r="G121" i="2"/>
  <c r="G120" i="2"/>
  <c r="V119" i="2"/>
  <c r="G119" i="2"/>
  <c r="G118" i="2"/>
  <c r="V117" i="2"/>
  <c r="G117" i="2"/>
  <c r="G116" i="2"/>
  <c r="G115" i="2"/>
  <c r="G114" i="2"/>
  <c r="C114" i="2"/>
  <c r="B114" i="2"/>
  <c r="G113" i="2"/>
  <c r="V112" i="2"/>
  <c r="G112" i="2"/>
  <c r="G111" i="2"/>
  <c r="G110" i="2"/>
  <c r="G109" i="2"/>
  <c r="G108" i="2"/>
  <c r="V107" i="2"/>
  <c r="G107" i="2"/>
  <c r="V106" i="2"/>
  <c r="G106" i="2"/>
  <c r="V105" i="2"/>
  <c r="G105" i="2"/>
  <c r="G104" i="2"/>
  <c r="G103" i="2"/>
  <c r="G102" i="2"/>
  <c r="G101" i="2"/>
  <c r="V100" i="2"/>
  <c r="G100" i="2"/>
  <c r="V99" i="2"/>
  <c r="G99" i="2"/>
  <c r="V98" i="2"/>
  <c r="G98" i="2"/>
  <c r="G97" i="2"/>
  <c r="G96" i="2"/>
  <c r="V95" i="2"/>
  <c r="G95" i="2"/>
  <c r="V94" i="2"/>
  <c r="G94" i="2"/>
  <c r="V93" i="2"/>
  <c r="G93" i="2"/>
  <c r="V92" i="2"/>
  <c r="G92" i="2"/>
  <c r="G91" i="2"/>
  <c r="G90" i="2"/>
  <c r="G89" i="2"/>
  <c r="V88" i="2"/>
  <c r="G88" i="2"/>
  <c r="G87" i="2"/>
  <c r="G86" i="2"/>
  <c r="V85" i="2"/>
  <c r="G85" i="2"/>
  <c r="V84" i="2"/>
  <c r="G84" i="2"/>
  <c r="G83" i="2"/>
  <c r="G82" i="2"/>
  <c r="V81" i="2"/>
  <c r="G81" i="2"/>
  <c r="G80" i="2"/>
  <c r="G79" i="2"/>
  <c r="B79" i="2"/>
  <c r="G78" i="2"/>
  <c r="G77" i="2"/>
  <c r="G76" i="2"/>
  <c r="G75" i="2"/>
  <c r="G74" i="2"/>
  <c r="G73" i="2"/>
  <c r="G72" i="2"/>
  <c r="G71" i="2"/>
  <c r="F71" i="2"/>
  <c r="G70" i="2"/>
  <c r="V69" i="2"/>
  <c r="G69" i="2"/>
  <c r="G68" i="2"/>
  <c r="G67" i="2"/>
  <c r="G66" i="2"/>
  <c r="G65" i="2"/>
  <c r="G64" i="2"/>
  <c r="G63" i="2"/>
  <c r="F63" i="2"/>
  <c r="B63" i="2"/>
  <c r="G62" i="2"/>
  <c r="G61" i="2"/>
  <c r="G60" i="2"/>
  <c r="G59" i="2"/>
  <c r="B59" i="2"/>
  <c r="G58" i="2"/>
  <c r="G57" i="2"/>
  <c r="G56" i="2"/>
  <c r="B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V35" i="2"/>
  <c r="G35" i="2"/>
  <c r="V34" i="2"/>
  <c r="G34" i="2"/>
  <c r="V33" i="2"/>
  <c r="G33" i="2"/>
  <c r="V32" i="2"/>
  <c r="G32" i="2"/>
  <c r="G31" i="2"/>
  <c r="G30" i="2"/>
  <c r="V29" i="2"/>
  <c r="V28" i="2"/>
  <c r="G27" i="2"/>
  <c r="G26" i="2"/>
  <c r="G25" i="2"/>
  <c r="G24" i="2"/>
  <c r="G23" i="2"/>
  <c r="G22" i="2"/>
  <c r="G21" i="2"/>
  <c r="G20" i="2"/>
  <c r="G19" i="2"/>
  <c r="V18" i="2"/>
  <c r="G18" i="2"/>
  <c r="G17" i="2"/>
  <c r="G16" i="2"/>
  <c r="G15" i="2"/>
  <c r="G14" i="2"/>
  <c r="G13" i="2"/>
  <c r="G12" i="2"/>
  <c r="G11" i="2"/>
  <c r="G10" i="2"/>
  <c r="G9" i="2"/>
  <c r="G8" i="2"/>
  <c r="G7" i="2"/>
  <c r="P374" i="1"/>
  <c r="AB373" i="1"/>
  <c r="T373" i="1"/>
  <c r="P371" i="1"/>
  <c r="AB370" i="1"/>
  <c r="T371" i="1"/>
  <c r="P363" i="1"/>
  <c r="AB362" i="1"/>
  <c r="T362" i="1"/>
  <c r="AB361" i="1"/>
  <c r="T361" i="1"/>
  <c r="AB360" i="1"/>
  <c r="T360" i="1"/>
  <c r="AB359" i="1"/>
  <c r="T359" i="1"/>
  <c r="AB358" i="1"/>
  <c r="AB357" i="1"/>
  <c r="P357" i="1"/>
  <c r="AB356" i="1"/>
  <c r="T356" i="1"/>
  <c r="AB355" i="1"/>
  <c r="T355" i="1"/>
  <c r="AB354" i="1"/>
  <c r="T354" i="1"/>
  <c r="AB353" i="1"/>
  <c r="T353" i="1"/>
  <c r="AB352" i="1"/>
  <c r="T352" i="1"/>
  <c r="AB351" i="1"/>
  <c r="T351" i="1"/>
  <c r="AB350" i="1"/>
  <c r="T350" i="1"/>
  <c r="AB349" i="1"/>
  <c r="T349" i="1"/>
  <c r="AB348" i="1"/>
  <c r="T348" i="1"/>
  <c r="R348" i="1"/>
  <c r="P346" i="1"/>
  <c r="AB345" i="1"/>
  <c r="AB343" i="1"/>
  <c r="AB342" i="1"/>
  <c r="AB341" i="1"/>
  <c r="AB340" i="1"/>
  <c r="AB339" i="1"/>
  <c r="AB338" i="1"/>
  <c r="AB337" i="1"/>
  <c r="AB336" i="1"/>
  <c r="AB335" i="1"/>
  <c r="AB334" i="1"/>
  <c r="AB333" i="1"/>
  <c r="AB332" i="1"/>
  <c r="AB331" i="1"/>
  <c r="AB330" i="1"/>
  <c r="AB329" i="1"/>
  <c r="AB328" i="1"/>
  <c r="AB327" i="1"/>
  <c r="AB326" i="1"/>
  <c r="AB325" i="1"/>
  <c r="AB324" i="1"/>
  <c r="AB323" i="1"/>
  <c r="AB322" i="1"/>
  <c r="AB321" i="1"/>
  <c r="AB320" i="1"/>
  <c r="P316" i="1"/>
  <c r="AB314" i="1"/>
  <c r="AB312" i="1"/>
  <c r="AB311" i="1"/>
  <c r="AB310" i="1"/>
  <c r="AB308" i="1"/>
  <c r="AB307" i="1"/>
  <c r="AB306" i="1"/>
  <c r="AB305" i="1"/>
  <c r="AB304" i="1"/>
  <c r="AB303" i="1"/>
  <c r="AB302" i="1"/>
  <c r="AB301" i="1"/>
  <c r="AB300" i="1"/>
  <c r="AB299" i="1"/>
  <c r="AB298" i="1"/>
  <c r="AB297" i="1"/>
  <c r="AB296" i="1"/>
  <c r="AB295" i="1"/>
  <c r="AB294" i="1"/>
  <c r="AB293" i="1"/>
  <c r="AB292" i="1"/>
  <c r="AB291" i="1"/>
  <c r="AB290" i="1"/>
  <c r="AB289" i="1"/>
  <c r="AB288" i="1"/>
  <c r="AB286" i="1"/>
  <c r="AB285" i="1"/>
  <c r="AB284" i="1"/>
  <c r="AB283" i="1"/>
  <c r="AB282" i="1"/>
  <c r="AB281" i="1"/>
  <c r="AB280" i="1"/>
  <c r="AB279" i="1"/>
  <c r="AB278" i="1"/>
  <c r="AB277" i="1"/>
  <c r="W277" i="1" s="1"/>
  <c r="P271" i="1"/>
  <c r="AB270" i="1"/>
  <c r="AB269" i="1"/>
  <c r="AB268" i="1"/>
  <c r="AB267" i="1"/>
  <c r="AB266" i="1"/>
  <c r="AB265" i="1"/>
  <c r="AB264" i="1"/>
  <c r="AB263" i="1"/>
  <c r="AB262" i="1"/>
  <c r="AB261" i="1"/>
  <c r="AB260" i="1"/>
  <c r="AB259" i="1"/>
  <c r="AB258" i="1"/>
  <c r="AB257" i="1"/>
  <c r="AB256" i="1"/>
  <c r="AB255" i="1"/>
  <c r="AB254" i="1"/>
  <c r="AB253" i="1"/>
  <c r="AB252" i="1"/>
  <c r="AB251" i="1"/>
  <c r="AB250" i="1"/>
  <c r="AB249" i="1"/>
  <c r="AB248" i="1"/>
  <c r="AB247" i="1"/>
  <c r="AB246" i="1"/>
  <c r="AB245" i="1"/>
  <c r="AB244" i="1"/>
  <c r="AB243" i="1"/>
  <c r="AB242" i="1"/>
  <c r="AB241" i="1"/>
  <c r="AB240" i="1"/>
  <c r="AB239" i="1"/>
  <c r="AB238" i="1"/>
  <c r="AB237" i="1"/>
  <c r="AB236" i="1"/>
  <c r="AB235" i="1"/>
  <c r="AB234" i="1"/>
  <c r="AB233" i="1"/>
  <c r="Y229" i="1"/>
  <c r="Y231" i="1" s="1"/>
  <c r="Q229" i="1"/>
  <c r="P229" i="1"/>
  <c r="AB228" i="1"/>
  <c r="AB227" i="1"/>
  <c r="AB226" i="1"/>
  <c r="AB225" i="1"/>
  <c r="AB224" i="1"/>
  <c r="AB223" i="1"/>
  <c r="AB222" i="1"/>
  <c r="AB221" i="1"/>
  <c r="AB220" i="1"/>
  <c r="AB219" i="1"/>
  <c r="AB218" i="1"/>
  <c r="AB217" i="1"/>
  <c r="AB216" i="1"/>
  <c r="AB215" i="1"/>
  <c r="AB214" i="1"/>
  <c r="AB213" i="1"/>
  <c r="AB212" i="1"/>
  <c r="AB211" i="1"/>
  <c r="AB210" i="1"/>
  <c r="AB209" i="1"/>
  <c r="AB208" i="1"/>
  <c r="AB207" i="1"/>
  <c r="AB206" i="1"/>
  <c r="AB205" i="1"/>
  <c r="AB204" i="1"/>
  <c r="AB203" i="1"/>
  <c r="AB202" i="1"/>
  <c r="I201" i="1"/>
  <c r="AB201" i="1" s="1"/>
  <c r="I200" i="1"/>
  <c r="AB200" i="1" s="1"/>
  <c r="I199" i="1"/>
  <c r="AB199" i="1" s="1"/>
  <c r="I198" i="1"/>
  <c r="AB198" i="1" s="1"/>
  <c r="I197" i="1"/>
  <c r="AB197" i="1" s="1"/>
  <c r="I196" i="1"/>
  <c r="AB196" i="1" s="1"/>
  <c r="I195" i="1"/>
  <c r="AB195" i="1" s="1"/>
  <c r="I194" i="1"/>
  <c r="AB194" i="1" s="1"/>
  <c r="I193" i="1"/>
  <c r="AB193" i="1" s="1"/>
  <c r="I192" i="1"/>
  <c r="AB192" i="1" s="1"/>
  <c r="I191" i="1"/>
  <c r="AB191" i="1" s="1"/>
  <c r="I190" i="1"/>
  <c r="AB190" i="1" s="1"/>
  <c r="I189" i="1"/>
  <c r="AB189" i="1" s="1"/>
  <c r="I188" i="1"/>
  <c r="AB188" i="1" s="1"/>
  <c r="I187" i="1"/>
  <c r="AB187" i="1" s="1"/>
  <c r="I186" i="1"/>
  <c r="AB186" i="1" s="1"/>
  <c r="I185" i="1"/>
  <c r="AB185" i="1" s="1"/>
  <c r="I184" i="1"/>
  <c r="AB184" i="1" s="1"/>
  <c r="I183" i="1"/>
  <c r="AB183" i="1" s="1"/>
  <c r="I182" i="1"/>
  <c r="AB182" i="1" s="1"/>
  <c r="I181" i="1"/>
  <c r="AB181" i="1" s="1"/>
  <c r="I180" i="1"/>
  <c r="AB180" i="1" s="1"/>
  <c r="AB179" i="1"/>
  <c r="Y175" i="1"/>
  <c r="Q175" i="1"/>
  <c r="P175" i="1"/>
  <c r="AB174" i="1"/>
  <c r="W174" i="1" s="1"/>
  <c r="X174" i="1" s="1"/>
  <c r="AB173" i="1"/>
  <c r="W173" i="1" s="1"/>
  <c r="X173" i="1" s="1"/>
  <c r="AB172" i="1"/>
  <c r="W172" i="1" s="1"/>
  <c r="X172" i="1" s="1"/>
  <c r="AB171" i="1"/>
  <c r="W171" i="1" s="1"/>
  <c r="X171" i="1" s="1"/>
  <c r="I170" i="1"/>
  <c r="AB170" i="1" s="1"/>
  <c r="I169" i="1"/>
  <c r="AB169" i="1" s="1"/>
  <c r="I168" i="1"/>
  <c r="AB168" i="1" s="1"/>
  <c r="I167" i="1"/>
  <c r="AB167" i="1" s="1"/>
  <c r="I166" i="1"/>
  <c r="AB166" i="1" s="1"/>
  <c r="I165" i="1"/>
  <c r="AB165" i="1" s="1"/>
  <c r="I164" i="1"/>
  <c r="AB164" i="1" s="1"/>
  <c r="I163" i="1"/>
  <c r="AB163" i="1" s="1"/>
  <c r="I162" i="1"/>
  <c r="AB162" i="1" s="1"/>
  <c r="I161" i="1"/>
  <c r="AB161" i="1" s="1"/>
  <c r="AB160" i="1"/>
  <c r="W160" i="1" s="1"/>
  <c r="X160" i="1" s="1"/>
  <c r="AB159" i="1"/>
  <c r="W159" i="1" s="1"/>
  <c r="X159" i="1" s="1"/>
  <c r="AB158" i="1"/>
  <c r="W158" i="1" s="1"/>
  <c r="X158" i="1" s="1"/>
  <c r="AB157" i="1"/>
  <c r="W157" i="1" s="1"/>
  <c r="X157" i="1" s="1"/>
  <c r="AB156" i="1"/>
  <c r="W156" i="1" s="1"/>
  <c r="X156" i="1" s="1"/>
  <c r="AB155" i="1"/>
  <c r="W155" i="1" s="1"/>
  <c r="X155" i="1" s="1"/>
  <c r="AB154" i="1"/>
  <c r="W154" i="1" s="1"/>
  <c r="X154" i="1" s="1"/>
  <c r="AB153" i="1"/>
  <c r="W153" i="1" s="1"/>
  <c r="X153" i="1" s="1"/>
  <c r="AB152" i="1"/>
  <c r="W152" i="1" s="1"/>
  <c r="X152" i="1" s="1"/>
  <c r="AB151" i="1"/>
  <c r="W151" i="1" s="1"/>
  <c r="X151" i="1" s="1"/>
  <c r="AB150" i="1"/>
  <c r="W150" i="1" s="1"/>
  <c r="X150" i="1" s="1"/>
  <c r="AB149" i="1"/>
  <c r="W149" i="1" s="1"/>
  <c r="X149" i="1" s="1"/>
  <c r="AB148" i="1"/>
  <c r="W148" i="1" s="1"/>
  <c r="X148" i="1" s="1"/>
  <c r="AB147" i="1"/>
  <c r="W147" i="1" s="1"/>
  <c r="X147" i="1" s="1"/>
  <c r="AB146" i="1"/>
  <c r="W146" i="1" s="1"/>
  <c r="X146" i="1" s="1"/>
  <c r="AB145" i="1"/>
  <c r="W145" i="1" s="1"/>
  <c r="X145" i="1" s="1"/>
  <c r="AB144" i="1"/>
  <c r="W144" i="1" s="1"/>
  <c r="X144" i="1" s="1"/>
  <c r="AB143" i="1"/>
  <c r="W143" i="1" s="1"/>
  <c r="X143" i="1" s="1"/>
  <c r="AB142" i="1"/>
  <c r="W142" i="1" s="1"/>
  <c r="X142" i="1" s="1"/>
  <c r="AB141" i="1"/>
  <c r="W141" i="1" s="1"/>
  <c r="X141" i="1" s="1"/>
  <c r="AB140" i="1"/>
  <c r="W140" i="1" s="1"/>
  <c r="X140" i="1" s="1"/>
  <c r="AB139" i="1"/>
  <c r="W139" i="1" s="1"/>
  <c r="X139" i="1" s="1"/>
  <c r="AB138" i="1"/>
  <c r="W138" i="1" s="1"/>
  <c r="X138" i="1" s="1"/>
  <c r="AB137" i="1"/>
  <c r="W137" i="1" s="1"/>
  <c r="X137" i="1" s="1"/>
  <c r="AB136" i="1"/>
  <c r="W136" i="1" s="1"/>
  <c r="Y131" i="1"/>
  <c r="Q131" i="1"/>
  <c r="W130" i="1"/>
  <c r="X130" i="1" s="1"/>
  <c r="W129" i="1"/>
  <c r="X129" i="1" s="1"/>
  <c r="W128" i="1"/>
  <c r="X128" i="1" s="1"/>
  <c r="W127" i="1"/>
  <c r="X127" i="1" s="1"/>
  <c r="W126" i="1"/>
  <c r="X126" i="1" s="1"/>
  <c r="W125" i="1"/>
  <c r="X125" i="1" s="1"/>
  <c r="W124" i="1"/>
  <c r="X124" i="1" s="1"/>
  <c r="W123" i="1"/>
  <c r="X123" i="1" s="1"/>
  <c r="W122" i="1"/>
  <c r="X122" i="1" s="1"/>
  <c r="P121" i="1"/>
  <c r="W120" i="1"/>
  <c r="X120" i="1" s="1"/>
  <c r="W119" i="1"/>
  <c r="X119" i="1" s="1"/>
  <c r="W118" i="1"/>
  <c r="X118" i="1" s="1"/>
  <c r="W117" i="1"/>
  <c r="X117" i="1" s="1"/>
  <c r="W116" i="1"/>
  <c r="X116" i="1" s="1"/>
  <c r="W115" i="1"/>
  <c r="X115" i="1" s="1"/>
  <c r="W114" i="1"/>
  <c r="X114" i="1" s="1"/>
  <c r="W113" i="1"/>
  <c r="X113" i="1" s="1"/>
  <c r="W112" i="1"/>
  <c r="X112" i="1" s="1"/>
  <c r="W111" i="1"/>
  <c r="X111" i="1" s="1"/>
  <c r="W110" i="1"/>
  <c r="X110" i="1" s="1"/>
  <c r="W109" i="1"/>
  <c r="X109" i="1" s="1"/>
  <c r="W108" i="1"/>
  <c r="X108" i="1" s="1"/>
  <c r="W107" i="1"/>
  <c r="X107" i="1" s="1"/>
  <c r="W106" i="1"/>
  <c r="X106" i="1" s="1"/>
  <c r="W105" i="1"/>
  <c r="X105" i="1" s="1"/>
  <c r="W104" i="1"/>
  <c r="X104" i="1" s="1"/>
  <c r="W103" i="1"/>
  <c r="X103" i="1" s="1"/>
  <c r="W102" i="1"/>
  <c r="X102" i="1" s="1"/>
  <c r="W101" i="1"/>
  <c r="X101" i="1" s="1"/>
  <c r="W100" i="1"/>
  <c r="X100" i="1" s="1"/>
  <c r="W99" i="1"/>
  <c r="X99" i="1" s="1"/>
  <c r="W98" i="1"/>
  <c r="X98" i="1" s="1"/>
  <c r="W97" i="1"/>
  <c r="X97" i="1" s="1"/>
  <c r="W96" i="1"/>
  <c r="X96" i="1" s="1"/>
  <c r="W95" i="1"/>
  <c r="X95" i="1" s="1"/>
  <c r="W94" i="1"/>
  <c r="X94" i="1" s="1"/>
  <c r="W93" i="1"/>
  <c r="X93" i="1" s="1"/>
  <c r="W92" i="1"/>
  <c r="X92" i="1" s="1"/>
  <c r="W91" i="1"/>
  <c r="X91" i="1" s="1"/>
  <c r="W90" i="1"/>
  <c r="X90" i="1" s="1"/>
  <c r="W89" i="1"/>
  <c r="X89" i="1" s="1"/>
  <c r="W88" i="1"/>
  <c r="X88" i="1" s="1"/>
  <c r="W87" i="1"/>
  <c r="X87" i="1" s="1"/>
  <c r="W86" i="1"/>
  <c r="X86" i="1" s="1"/>
  <c r="W85" i="1"/>
  <c r="X85" i="1" s="1"/>
  <c r="W84" i="1"/>
  <c r="X84" i="1" s="1"/>
  <c r="W83" i="1"/>
  <c r="X83" i="1" s="1"/>
  <c r="W82" i="1"/>
  <c r="X82" i="1" s="1"/>
  <c r="W81" i="1"/>
  <c r="X81" i="1" s="1"/>
  <c r="W80" i="1"/>
  <c r="X80" i="1" s="1"/>
  <c r="W79" i="1"/>
  <c r="X79" i="1" s="1"/>
  <c r="W78" i="1"/>
  <c r="X78" i="1" s="1"/>
  <c r="W77" i="1"/>
  <c r="X77" i="1" s="1"/>
  <c r="W76" i="1"/>
  <c r="X76" i="1" s="1"/>
  <c r="W75" i="1"/>
  <c r="X75" i="1" s="1"/>
  <c r="W74" i="1"/>
  <c r="X74" i="1" s="1"/>
  <c r="W73" i="1"/>
  <c r="X73" i="1" s="1"/>
  <c r="W72" i="1"/>
  <c r="X72" i="1" s="1"/>
  <c r="W71" i="1"/>
  <c r="X71" i="1" s="1"/>
  <c r="W70" i="1"/>
  <c r="X70" i="1" s="1"/>
  <c r="W69" i="1"/>
  <c r="X69" i="1" s="1"/>
  <c r="W68" i="1"/>
  <c r="X68" i="1" s="1"/>
  <c r="W63" i="1"/>
  <c r="X62" i="1"/>
  <c r="P62" i="1"/>
  <c r="P63" i="1" s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AB48" i="1"/>
  <c r="X48" i="1"/>
  <c r="Y46" i="1"/>
  <c r="Y65" i="1" s="1"/>
  <c r="Q46" i="1"/>
  <c r="Q65" i="1" s="1"/>
  <c r="P44" i="1"/>
  <c r="P46" i="1" s="1"/>
  <c r="T28" i="1"/>
  <c r="T27" i="1"/>
  <c r="T26" i="1"/>
  <c r="T25" i="1"/>
  <c r="T24" i="1"/>
  <c r="T23" i="1"/>
  <c r="T21" i="1"/>
  <c r="T20" i="1"/>
  <c r="T19" i="1"/>
  <c r="T17" i="1"/>
  <c r="T16" i="1"/>
  <c r="T15" i="1"/>
  <c r="T14" i="1"/>
  <c r="T11" i="1"/>
  <c r="T10" i="1"/>
  <c r="T9" i="1"/>
  <c r="T8" i="1"/>
  <c r="T7" i="1"/>
  <c r="N967" i="2" l="1"/>
  <c r="N38" i="3"/>
  <c r="R922" i="2"/>
  <c r="R930" i="2"/>
  <c r="P376" i="1"/>
  <c r="W299" i="1"/>
  <c r="W301" i="1"/>
  <c r="X303" i="1"/>
  <c r="W307" i="1"/>
  <c r="R775" i="2"/>
  <c r="R948" i="2"/>
  <c r="Q133" i="1"/>
  <c r="Q177" i="1" s="1"/>
  <c r="Q231" i="1" s="1"/>
  <c r="N883" i="2"/>
  <c r="N890" i="2" s="1"/>
  <c r="R940" i="2"/>
  <c r="V370" i="1"/>
  <c r="V371" i="1" s="1"/>
  <c r="S7" i="3"/>
  <c r="T7" i="3" s="1"/>
  <c r="S10" i="3"/>
  <c r="T10" i="3" s="1"/>
  <c r="S12" i="3"/>
  <c r="S19" i="3"/>
  <c r="S20" i="3"/>
  <c r="S18" i="3"/>
  <c r="S24" i="3"/>
  <c r="S25" i="3"/>
  <c r="S26" i="3"/>
  <c r="S28" i="3"/>
  <c r="S29" i="3"/>
  <c r="S30" i="3"/>
  <c r="S40" i="3"/>
  <c r="U40" i="3" s="1"/>
  <c r="S42" i="3"/>
  <c r="U42" i="3" s="1"/>
  <c r="S23" i="3"/>
  <c r="T23" i="3" s="1"/>
  <c r="X683" i="2"/>
  <c r="R704" i="2"/>
  <c r="R684" i="2"/>
  <c r="X16" i="1"/>
  <c r="X19" i="1"/>
  <c r="X23" i="1"/>
  <c r="P65" i="1"/>
  <c r="Y133" i="1"/>
  <c r="W67" i="1"/>
  <c r="X67" i="1" s="1"/>
  <c r="W161" i="1"/>
  <c r="X161" i="1" s="1"/>
  <c r="W162" i="1"/>
  <c r="X162" i="1" s="1"/>
  <c r="W163" i="1"/>
  <c r="X163" i="1" s="1"/>
  <c r="W164" i="1"/>
  <c r="X164" i="1" s="1"/>
  <c r="W165" i="1"/>
  <c r="X165" i="1" s="1"/>
  <c r="W166" i="1"/>
  <c r="X166" i="1" s="1"/>
  <c r="W167" i="1"/>
  <c r="X167" i="1" s="1"/>
  <c r="W168" i="1"/>
  <c r="X168" i="1" s="1"/>
  <c r="W169" i="1"/>
  <c r="X169" i="1" s="1"/>
  <c r="W170" i="1"/>
  <c r="X170" i="1" s="1"/>
  <c r="X14" i="1"/>
  <c r="X286" i="1"/>
  <c r="W291" i="1"/>
  <c r="W324" i="1"/>
  <c r="V359" i="1"/>
  <c r="V361" i="1"/>
  <c r="X361" i="1" s="1"/>
  <c r="S9" i="3"/>
  <c r="U9" i="3" s="1"/>
  <c r="S13" i="3"/>
  <c r="U13" i="3" s="1"/>
  <c r="S15" i="3"/>
  <c r="U15" i="3" s="1"/>
  <c r="X292" i="1"/>
  <c r="X293" i="1"/>
  <c r="X295" i="1"/>
  <c r="X308" i="1"/>
  <c r="W310" i="1"/>
  <c r="W312" i="1"/>
  <c r="X325" i="1"/>
  <c r="X326" i="1"/>
  <c r="W328" i="1"/>
  <c r="W288" i="1"/>
  <c r="W289" i="1"/>
  <c r="W296" i="1"/>
  <c r="X297" i="1"/>
  <c r="X304" i="1"/>
  <c r="W305" i="1"/>
  <c r="X314" i="1"/>
  <c r="W321" i="1"/>
  <c r="X322" i="1"/>
  <c r="W329" i="1"/>
  <c r="W330" i="1"/>
  <c r="V362" i="1"/>
  <c r="X362" i="1" s="1"/>
  <c r="X290" i="1"/>
  <c r="W294" i="1"/>
  <c r="X298" i="1"/>
  <c r="W302" i="1"/>
  <c r="W306" i="1"/>
  <c r="X311" i="1"/>
  <c r="X323" i="1"/>
  <c r="X327" i="1"/>
  <c r="W331" i="1"/>
  <c r="V348" i="1"/>
  <c r="W348" i="1" s="1"/>
  <c r="V349" i="1"/>
  <c r="W349" i="1" s="1"/>
  <c r="V350" i="1"/>
  <c r="W350" i="1" s="1"/>
  <c r="V351" i="1"/>
  <c r="W351" i="1" s="1"/>
  <c r="V352" i="1"/>
  <c r="X352" i="1" s="1"/>
  <c r="V353" i="1"/>
  <c r="W353" i="1" s="1"/>
  <c r="V354" i="1"/>
  <c r="W354" i="1" s="1"/>
  <c r="V355" i="1"/>
  <c r="X355" i="1" s="1"/>
  <c r="V356" i="1"/>
  <c r="X356" i="1" s="1"/>
  <c r="V360" i="1"/>
  <c r="W360" i="1" s="1"/>
  <c r="N924" i="2"/>
  <c r="V63" i="1"/>
  <c r="T316" i="1"/>
  <c r="P365" i="1"/>
  <c r="V373" i="1"/>
  <c r="W373" i="1" s="1"/>
  <c r="W374" i="1" s="1"/>
  <c r="W24" i="1"/>
  <c r="X25" i="1"/>
  <c r="W28" i="1"/>
  <c r="T44" i="1"/>
  <c r="T46" i="1" s="1"/>
  <c r="X27" i="1"/>
  <c r="W38" i="1"/>
  <c r="W40" i="1"/>
  <c r="T63" i="1"/>
  <c r="X63" i="1"/>
  <c r="T175" i="1"/>
  <c r="X182" i="1"/>
  <c r="T346" i="1"/>
  <c r="T357" i="1"/>
  <c r="S46" i="3"/>
  <c r="Q36" i="3"/>
  <c r="S35" i="3"/>
  <c r="W11" i="3"/>
  <c r="Q43" i="3"/>
  <c r="Q46" i="3"/>
  <c r="Q31" i="3"/>
  <c r="S34" i="3"/>
  <c r="S41" i="3"/>
  <c r="S33" i="3"/>
  <c r="R900" i="2"/>
  <c r="R913" i="2"/>
  <c r="R918" i="2"/>
  <c r="R888" i="2"/>
  <c r="Z909" i="2"/>
  <c r="Z907" i="2"/>
  <c r="Z910" i="2"/>
  <c r="Z908" i="2"/>
  <c r="Z906" i="2"/>
  <c r="N411" i="2"/>
  <c r="N413" i="2" s="1"/>
  <c r="N686" i="2" s="1"/>
  <c r="R331" i="2"/>
  <c r="R333" i="2" s="1"/>
  <c r="Z726" i="2"/>
  <c r="Z725" i="2"/>
  <c r="R737" i="2"/>
  <c r="P413" i="2"/>
  <c r="P684" i="2" s="1"/>
  <c r="P686" i="2" s="1"/>
  <c r="P706" i="2" s="1"/>
  <c r="P739" i="2" s="1"/>
  <c r="P771" i="2" s="1"/>
  <c r="P892" i="2" s="1"/>
  <c r="O413" i="2"/>
  <c r="O684" i="2" s="1"/>
  <c r="O686" i="2" s="1"/>
  <c r="O706" i="2" s="1"/>
  <c r="O739" i="2" s="1"/>
  <c r="O771" i="2" s="1"/>
  <c r="O892" i="2" s="1"/>
  <c r="R790" i="2"/>
  <c r="R896" i="2"/>
  <c r="R904" i="2"/>
  <c r="R965" i="2"/>
  <c r="Z18" i="2"/>
  <c r="U18" i="2" s="1"/>
  <c r="Z7" i="2"/>
  <c r="Z8" i="2"/>
  <c r="Z9" i="2"/>
  <c r="Z10" i="2"/>
  <c r="Z11" i="2"/>
  <c r="Z12" i="2"/>
  <c r="Z13" i="2"/>
  <c r="Z14" i="2"/>
  <c r="Z15" i="2"/>
  <c r="Z16" i="2"/>
  <c r="Z17" i="2"/>
  <c r="Z56" i="2"/>
  <c r="Z57" i="2"/>
  <c r="Z58" i="2"/>
  <c r="Z70" i="2"/>
  <c r="Z79" i="2"/>
  <c r="Z80" i="2"/>
  <c r="Z89" i="2"/>
  <c r="Z90" i="2"/>
  <c r="Z91" i="2"/>
  <c r="Z92" i="2"/>
  <c r="U92" i="2" s="1"/>
  <c r="Z94" i="2"/>
  <c r="U94" i="2" s="1"/>
  <c r="Z96" i="2"/>
  <c r="Z97" i="2"/>
  <c r="Z98" i="2"/>
  <c r="U98" i="2" s="1"/>
  <c r="Z100" i="2"/>
  <c r="U100" i="2" s="1"/>
  <c r="Z106" i="2"/>
  <c r="U106" i="2" s="1"/>
  <c r="Z108" i="2"/>
  <c r="Z109" i="2"/>
  <c r="Z110" i="2"/>
  <c r="Z111" i="2"/>
  <c r="Z112" i="2"/>
  <c r="U112" i="2" s="1"/>
  <c r="Z118" i="2"/>
  <c r="Z131" i="2"/>
  <c r="Z132" i="2"/>
  <c r="Z133" i="2"/>
  <c r="Z134" i="2"/>
  <c r="Z135" i="2"/>
  <c r="Z136" i="2"/>
  <c r="Z139" i="2"/>
  <c r="Z140" i="2"/>
  <c r="Z141" i="2"/>
  <c r="Z142" i="2"/>
  <c r="Z143" i="2"/>
  <c r="Z144" i="2"/>
  <c r="Z149" i="2"/>
  <c r="Z150" i="2"/>
  <c r="Z159" i="2"/>
  <c r="Z160" i="2"/>
  <c r="Z161" i="2"/>
  <c r="Z162" i="2"/>
  <c r="Z163" i="2"/>
  <c r="Z164" i="2"/>
  <c r="Z165" i="2"/>
  <c r="Z166" i="2"/>
  <c r="Z167" i="2"/>
  <c r="Z168" i="2"/>
  <c r="Z169" i="2"/>
  <c r="Z170" i="2"/>
  <c r="Z171" i="2"/>
  <c r="Z172" i="2"/>
  <c r="Z173" i="2"/>
  <c r="Z174" i="2"/>
  <c r="Z175" i="2"/>
  <c r="Z176" i="2"/>
  <c r="Z177" i="2"/>
  <c r="Z178" i="2"/>
  <c r="Z179" i="2"/>
  <c r="Z180" i="2"/>
  <c r="Z181" i="2"/>
  <c r="Z182" i="2"/>
  <c r="Z183" i="2"/>
  <c r="Z184" i="2"/>
  <c r="Z185" i="2"/>
  <c r="Z186" i="2"/>
  <c r="Z187" i="2"/>
  <c r="Z188" i="2"/>
  <c r="Z189" i="2"/>
  <c r="Z190" i="2"/>
  <c r="Z191" i="2"/>
  <c r="Z192" i="2"/>
  <c r="Z193" i="2"/>
  <c r="Z194" i="2"/>
  <c r="Z195" i="2"/>
  <c r="Z196" i="2"/>
  <c r="Z197" i="2"/>
  <c r="Z198" i="2"/>
  <c r="Z199" i="2"/>
  <c r="U199" i="2" s="1"/>
  <c r="Z200" i="2"/>
  <c r="U200" i="2" s="1"/>
  <c r="Z201" i="2"/>
  <c r="Z202" i="2"/>
  <c r="Z203" i="2"/>
  <c r="Z204" i="2"/>
  <c r="Z205" i="2"/>
  <c r="Z206" i="2"/>
  <c r="Z207" i="2"/>
  <c r="Z208" i="2"/>
  <c r="Z212" i="2"/>
  <c r="Z224" i="2"/>
  <c r="Z235" i="2"/>
  <c r="Z236" i="2"/>
  <c r="Z237" i="2"/>
  <c r="Z238" i="2"/>
  <c r="U238" i="2" s="1"/>
  <c r="Z240" i="2"/>
  <c r="U240" i="2" s="1"/>
  <c r="Z244" i="2"/>
  <c r="U244" i="2" s="1"/>
  <c r="Z247" i="2"/>
  <c r="Z248" i="2"/>
  <c r="U248" i="2" s="1"/>
  <c r="Z250" i="2"/>
  <c r="U250" i="2" s="1"/>
  <c r="Z252" i="2"/>
  <c r="U252" i="2" s="1"/>
  <c r="Z254" i="2"/>
  <c r="U254" i="2" s="1"/>
  <c r="Z256" i="2"/>
  <c r="U256" i="2" s="1"/>
  <c r="Z258" i="2"/>
  <c r="Z277" i="2"/>
  <c r="Z278" i="2"/>
  <c r="Z280" i="2"/>
  <c r="Z282" i="2"/>
  <c r="Z283" i="2"/>
  <c r="Z284" i="2"/>
  <c r="U284" i="2" s="1"/>
  <c r="Z301" i="2"/>
  <c r="Z302" i="2"/>
  <c r="Z303" i="2"/>
  <c r="Z304" i="2"/>
  <c r="Z305" i="2"/>
  <c r="Z306" i="2"/>
  <c r="Z307" i="2"/>
  <c r="Z308" i="2"/>
  <c r="Z19" i="2"/>
  <c r="Z20" i="2"/>
  <c r="Z21" i="2"/>
  <c r="Z22" i="2"/>
  <c r="Z23" i="2"/>
  <c r="Z24" i="2"/>
  <c r="Z25" i="2"/>
  <c r="Z26" i="2"/>
  <c r="Z27" i="2"/>
  <c r="Z30" i="2"/>
  <c r="Z31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9" i="2"/>
  <c r="Z60" i="2"/>
  <c r="Z61" i="2"/>
  <c r="Z62" i="2"/>
  <c r="Z63" i="2"/>
  <c r="Z64" i="2"/>
  <c r="Z65" i="2"/>
  <c r="Z66" i="2"/>
  <c r="Z67" i="2"/>
  <c r="Z68" i="2"/>
  <c r="Z69" i="2"/>
  <c r="Z71" i="2"/>
  <c r="Z72" i="2"/>
  <c r="Z73" i="2"/>
  <c r="Z74" i="2"/>
  <c r="Z75" i="2"/>
  <c r="Z76" i="2"/>
  <c r="Z77" i="2"/>
  <c r="Z78" i="2"/>
  <c r="Z82" i="2"/>
  <c r="Z83" i="2"/>
  <c r="Z86" i="2"/>
  <c r="Z87" i="2"/>
  <c r="Z93" i="2"/>
  <c r="U93" i="2" s="1"/>
  <c r="Z95" i="2"/>
  <c r="U95" i="2" s="1"/>
  <c r="Z99" i="2"/>
  <c r="U99" i="2" s="1"/>
  <c r="Z101" i="2"/>
  <c r="Z102" i="2"/>
  <c r="Z103" i="2"/>
  <c r="Z104" i="2"/>
  <c r="Z105" i="2"/>
  <c r="U105" i="2" s="1"/>
  <c r="Z107" i="2"/>
  <c r="U107" i="2" s="1"/>
  <c r="Z113" i="2"/>
  <c r="Z114" i="2"/>
  <c r="Z115" i="2"/>
  <c r="Z116" i="2"/>
  <c r="Z117" i="2"/>
  <c r="U117" i="2" s="1"/>
  <c r="Z120" i="2"/>
  <c r="Z121" i="2"/>
  <c r="Z122" i="2"/>
  <c r="Z123" i="2"/>
  <c r="Z126" i="2"/>
  <c r="Z127" i="2"/>
  <c r="Z128" i="2"/>
  <c r="Z129" i="2"/>
  <c r="Z146" i="2"/>
  <c r="Z147" i="2"/>
  <c r="Z152" i="2"/>
  <c r="Z153" i="2"/>
  <c r="Z154" i="2"/>
  <c r="Z155" i="2"/>
  <c r="Z156" i="2"/>
  <c r="Z157" i="2"/>
  <c r="T157" i="2" s="1"/>
  <c r="Z210" i="2"/>
  <c r="Z211" i="2"/>
  <c r="Z216" i="2"/>
  <c r="Z217" i="2"/>
  <c r="Z218" i="2"/>
  <c r="Z219" i="2"/>
  <c r="Z222" i="2"/>
  <c r="Z223" i="2"/>
  <c r="Z239" i="2"/>
  <c r="U239" i="2" s="1"/>
  <c r="Z241" i="2"/>
  <c r="Z242" i="2"/>
  <c r="Z243" i="2"/>
  <c r="U243" i="2" s="1"/>
  <c r="Z245" i="2"/>
  <c r="Z249" i="2"/>
  <c r="U249" i="2" s="1"/>
  <c r="Z251" i="2"/>
  <c r="U251" i="2" s="1"/>
  <c r="Z253" i="2"/>
  <c r="U253" i="2" s="1"/>
  <c r="Z255" i="2"/>
  <c r="U255" i="2" s="1"/>
  <c r="Z257" i="2"/>
  <c r="U257" i="2" s="1"/>
  <c r="Z260" i="2"/>
  <c r="Z261" i="2"/>
  <c r="Z279" i="2"/>
  <c r="Z281" i="2"/>
  <c r="Z285" i="2"/>
  <c r="T285" i="2" s="1"/>
  <c r="Z286" i="2"/>
  <c r="T286" i="2" s="1"/>
  <c r="Z287" i="2"/>
  <c r="T287" i="2" s="1"/>
  <c r="Z288" i="2"/>
  <c r="T288" i="2" s="1"/>
  <c r="Z289" i="2"/>
  <c r="T289" i="2" s="1"/>
  <c r="Z290" i="2"/>
  <c r="T290" i="2" s="1"/>
  <c r="Z291" i="2"/>
  <c r="T291" i="2" s="1"/>
  <c r="Z292" i="2"/>
  <c r="T292" i="2" s="1"/>
  <c r="Z293" i="2"/>
  <c r="Z294" i="2"/>
  <c r="Z295" i="2"/>
  <c r="Z296" i="2"/>
  <c r="Z297" i="2"/>
  <c r="Z298" i="2"/>
  <c r="Z299" i="2"/>
  <c r="Z300" i="2"/>
  <c r="Z309" i="2"/>
  <c r="Z310" i="2"/>
  <c r="Z311" i="2"/>
  <c r="Z312" i="2"/>
  <c r="Z313" i="2"/>
  <c r="Z314" i="2"/>
  <c r="Z315" i="2"/>
  <c r="Z316" i="2"/>
  <c r="Z317" i="2"/>
  <c r="Z318" i="2"/>
  <c r="Z319" i="2"/>
  <c r="Z320" i="2"/>
  <c r="Z321" i="2"/>
  <c r="Z322" i="2"/>
  <c r="Z323" i="2"/>
  <c r="Z324" i="2"/>
  <c r="Z325" i="2"/>
  <c r="Z326" i="2"/>
  <c r="Z327" i="2"/>
  <c r="Z328" i="2"/>
  <c r="Z329" i="2"/>
  <c r="Z330" i="2"/>
  <c r="Z335" i="2"/>
  <c r="Z336" i="2"/>
  <c r="Z337" i="2"/>
  <c r="Z338" i="2"/>
  <c r="Z339" i="2"/>
  <c r="Z340" i="2"/>
  <c r="Z341" i="2"/>
  <c r="Z342" i="2"/>
  <c r="Z345" i="2"/>
  <c r="Z349" i="2"/>
  <c r="Z353" i="2"/>
  <c r="Z357" i="2"/>
  <c r="Z344" i="2"/>
  <c r="Z348" i="2"/>
  <c r="Z352" i="2"/>
  <c r="Z356" i="2"/>
  <c r="Z360" i="2"/>
  <c r="Z964" i="2"/>
  <c r="Z963" i="2"/>
  <c r="Z962" i="2"/>
  <c r="Z961" i="2"/>
  <c r="Z960" i="2"/>
  <c r="Z959" i="2"/>
  <c r="Z958" i="2"/>
  <c r="Z957" i="2"/>
  <c r="Z956" i="2"/>
  <c r="Z955" i="2"/>
  <c r="Z954" i="2"/>
  <c r="Z953" i="2"/>
  <c r="Z952" i="2"/>
  <c r="Z951" i="2"/>
  <c r="Z950" i="2"/>
  <c r="Z947" i="2"/>
  <c r="Z946" i="2"/>
  <c r="Z943" i="2"/>
  <c r="Z939" i="2"/>
  <c r="Z938" i="2"/>
  <c r="Z937" i="2"/>
  <c r="Z936" i="2"/>
  <c r="Z935" i="2"/>
  <c r="Z934" i="2"/>
  <c r="Z933" i="2"/>
  <c r="Z921" i="2"/>
  <c r="Z920" i="2"/>
  <c r="Z917" i="2"/>
  <c r="Z916" i="2"/>
  <c r="Z915" i="2"/>
  <c r="Z912" i="2"/>
  <c r="Z911" i="2"/>
  <c r="Z844" i="2"/>
  <c r="Z842" i="2"/>
  <c r="Z840" i="2"/>
  <c r="Z839" i="2"/>
  <c r="Z838" i="2"/>
  <c r="Z837" i="2"/>
  <c r="Z836" i="2"/>
  <c r="Z835" i="2"/>
  <c r="Z834" i="2"/>
  <c r="Z833" i="2"/>
  <c r="Z832" i="2"/>
  <c r="Z831" i="2"/>
  <c r="Z830" i="2"/>
  <c r="Z829" i="2"/>
  <c r="Z828" i="2"/>
  <c r="Z827" i="2"/>
  <c r="Z826" i="2"/>
  <c r="Z825" i="2"/>
  <c r="Z824" i="2"/>
  <c r="Z823" i="2"/>
  <c r="Z822" i="2"/>
  <c r="Z821" i="2"/>
  <c r="Z820" i="2"/>
  <c r="Z819" i="2"/>
  <c r="Z818" i="2"/>
  <c r="Z817" i="2"/>
  <c r="Z816" i="2"/>
  <c r="Z815" i="2"/>
  <c r="Z814" i="2"/>
  <c r="Z813" i="2"/>
  <c r="Z812" i="2"/>
  <c r="Z811" i="2"/>
  <c r="Z810" i="2"/>
  <c r="Z809" i="2"/>
  <c r="Z808" i="2"/>
  <c r="Z807" i="2"/>
  <c r="Z806" i="2"/>
  <c r="Z805" i="2"/>
  <c r="Z804" i="2"/>
  <c r="Z803" i="2"/>
  <c r="Z802" i="2"/>
  <c r="Z801" i="2"/>
  <c r="Z800" i="2"/>
  <c r="Z799" i="2"/>
  <c r="Z798" i="2"/>
  <c r="Z797" i="2"/>
  <c r="Z903" i="2"/>
  <c r="Z902" i="2"/>
  <c r="Z899" i="2"/>
  <c r="Z898" i="2"/>
  <c r="Z895" i="2"/>
  <c r="Z894" i="2"/>
  <c r="Z887" i="2"/>
  <c r="Z886" i="2"/>
  <c r="Z885" i="2"/>
  <c r="Z882" i="2"/>
  <c r="Z881" i="2"/>
  <c r="Z880" i="2"/>
  <c r="Z879" i="2"/>
  <c r="Z878" i="2"/>
  <c r="Z877" i="2"/>
  <c r="Z876" i="2"/>
  <c r="Z875" i="2"/>
  <c r="Z874" i="2"/>
  <c r="Z873" i="2"/>
  <c r="Z872" i="2"/>
  <c r="Z871" i="2"/>
  <c r="Z870" i="2"/>
  <c r="Z869" i="2"/>
  <c r="Z868" i="2"/>
  <c r="Z867" i="2"/>
  <c r="Z866" i="2"/>
  <c r="Z865" i="2"/>
  <c r="Z864" i="2"/>
  <c r="Z863" i="2"/>
  <c r="Z862" i="2"/>
  <c r="Z861" i="2"/>
  <c r="Z860" i="2"/>
  <c r="Z859" i="2"/>
  <c r="Z858" i="2"/>
  <c r="Z857" i="2"/>
  <c r="Z856" i="2"/>
  <c r="Z855" i="2"/>
  <c r="Z854" i="2"/>
  <c r="Z853" i="2"/>
  <c r="Z852" i="2"/>
  <c r="Z851" i="2"/>
  <c r="Z850" i="2"/>
  <c r="Z849" i="2"/>
  <c r="Z848" i="2"/>
  <c r="Z847" i="2"/>
  <c r="Z846" i="2"/>
  <c r="Z845" i="2"/>
  <c r="Z843" i="2"/>
  <c r="Z841" i="2"/>
  <c r="Z796" i="2"/>
  <c r="Z795" i="2"/>
  <c r="Z794" i="2"/>
  <c r="Z793" i="2"/>
  <c r="Z792" i="2"/>
  <c r="Z789" i="2"/>
  <c r="Z788" i="2"/>
  <c r="Z787" i="2"/>
  <c r="Z786" i="2"/>
  <c r="Z785" i="2"/>
  <c r="Z784" i="2"/>
  <c r="Z783" i="2"/>
  <c r="Z782" i="2"/>
  <c r="Z781" i="2"/>
  <c r="Z780" i="2"/>
  <c r="Z779" i="2"/>
  <c r="Z778" i="2"/>
  <c r="Z777" i="2"/>
  <c r="Z774" i="2"/>
  <c r="Z773" i="2"/>
  <c r="Z756" i="2"/>
  <c r="Z763" i="2"/>
  <c r="Z750" i="2"/>
  <c r="Z749" i="2"/>
  <c r="Z748" i="2"/>
  <c r="Z747" i="2"/>
  <c r="Z746" i="2"/>
  <c r="Z745" i="2"/>
  <c r="Z744" i="2"/>
  <c r="Z743" i="2"/>
  <c r="Z742" i="2"/>
  <c r="Z741" i="2"/>
  <c r="Z690" i="2"/>
  <c r="Z689" i="2"/>
  <c r="Z410" i="2"/>
  <c r="Z28" i="2"/>
  <c r="Z29" i="2"/>
  <c r="Z32" i="2"/>
  <c r="Z33" i="2"/>
  <c r="Z34" i="2"/>
  <c r="Z35" i="2"/>
  <c r="Z81" i="2"/>
  <c r="U81" i="2" s="1"/>
  <c r="Z84" i="2"/>
  <c r="U84" i="2" s="1"/>
  <c r="Z85" i="2"/>
  <c r="U85" i="2" s="1"/>
  <c r="Z88" i="2"/>
  <c r="U88" i="2" s="1"/>
  <c r="Z119" i="2"/>
  <c r="U119" i="2" s="1"/>
  <c r="Z124" i="2"/>
  <c r="U124" i="2" s="1"/>
  <c r="Z125" i="2"/>
  <c r="U125" i="2" s="1"/>
  <c r="Z130" i="2"/>
  <c r="U130" i="2" s="1"/>
  <c r="Z137" i="2"/>
  <c r="U137" i="2" s="1"/>
  <c r="Z138" i="2"/>
  <c r="U138" i="2" s="1"/>
  <c r="Z145" i="2"/>
  <c r="U145" i="2" s="1"/>
  <c r="Z148" i="2"/>
  <c r="U148" i="2" s="1"/>
  <c r="Z151" i="2"/>
  <c r="U151" i="2" s="1"/>
  <c r="Z158" i="2"/>
  <c r="Z209" i="2"/>
  <c r="U209" i="2" s="1"/>
  <c r="Z213" i="2"/>
  <c r="U213" i="2" s="1"/>
  <c r="Z214" i="2"/>
  <c r="U214" i="2" s="1"/>
  <c r="Z215" i="2"/>
  <c r="U215" i="2" s="1"/>
  <c r="Z220" i="2"/>
  <c r="U220" i="2" s="1"/>
  <c r="Z221" i="2"/>
  <c r="U221" i="2" s="1"/>
  <c r="Z225" i="2"/>
  <c r="U225" i="2" s="1"/>
  <c r="Z226" i="2"/>
  <c r="U226" i="2" s="1"/>
  <c r="Z227" i="2"/>
  <c r="U227" i="2" s="1"/>
  <c r="Z228" i="2"/>
  <c r="U228" i="2" s="1"/>
  <c r="Z229" i="2"/>
  <c r="U229" i="2" s="1"/>
  <c r="Z230" i="2"/>
  <c r="U230" i="2" s="1"/>
  <c r="Z231" i="2"/>
  <c r="U231" i="2" s="1"/>
  <c r="Z232" i="2"/>
  <c r="U232" i="2" s="1"/>
  <c r="Z233" i="2"/>
  <c r="U233" i="2" s="1"/>
  <c r="Z234" i="2"/>
  <c r="U234" i="2" s="1"/>
  <c r="Z246" i="2"/>
  <c r="U246" i="2" s="1"/>
  <c r="Z259" i="2"/>
  <c r="Z262" i="2"/>
  <c r="U262" i="2" s="1"/>
  <c r="Z263" i="2"/>
  <c r="U263" i="2" s="1"/>
  <c r="Z264" i="2"/>
  <c r="U264" i="2" s="1"/>
  <c r="Z265" i="2"/>
  <c r="U265" i="2" s="1"/>
  <c r="Z266" i="2"/>
  <c r="U266" i="2" s="1"/>
  <c r="Z267" i="2"/>
  <c r="U267" i="2" s="1"/>
  <c r="Z268" i="2"/>
  <c r="U268" i="2" s="1"/>
  <c r="Z269" i="2"/>
  <c r="U269" i="2" s="1"/>
  <c r="Z270" i="2"/>
  <c r="U270" i="2" s="1"/>
  <c r="Z271" i="2"/>
  <c r="U271" i="2" s="1"/>
  <c r="Z272" i="2"/>
  <c r="U272" i="2" s="1"/>
  <c r="Z273" i="2"/>
  <c r="U273" i="2" s="1"/>
  <c r="Z274" i="2"/>
  <c r="U274" i="2" s="1"/>
  <c r="Z275" i="2"/>
  <c r="U275" i="2" s="1"/>
  <c r="Z276" i="2"/>
  <c r="Z343" i="2"/>
  <c r="Z346" i="2"/>
  <c r="Z347" i="2"/>
  <c r="Z350" i="2"/>
  <c r="Z351" i="2"/>
  <c r="Z354" i="2"/>
  <c r="Z355" i="2"/>
  <c r="Z358" i="2"/>
  <c r="Z359" i="2"/>
  <c r="Z361" i="2"/>
  <c r="Z362" i="2"/>
  <c r="Z363" i="2"/>
  <c r="Z364" i="2"/>
  <c r="Z365" i="2"/>
  <c r="Z366" i="2"/>
  <c r="Z367" i="2"/>
  <c r="Z368" i="2"/>
  <c r="Z369" i="2"/>
  <c r="Z370" i="2"/>
  <c r="Z371" i="2"/>
  <c r="Z372" i="2"/>
  <c r="Z373" i="2"/>
  <c r="Z374" i="2"/>
  <c r="Z375" i="2"/>
  <c r="Z376" i="2"/>
  <c r="Z377" i="2"/>
  <c r="Z378" i="2"/>
  <c r="Z379" i="2"/>
  <c r="Z380" i="2"/>
  <c r="Z381" i="2"/>
  <c r="Z382" i="2"/>
  <c r="Z383" i="2"/>
  <c r="Z384" i="2"/>
  <c r="Z385" i="2"/>
  <c r="Z386" i="2"/>
  <c r="Z387" i="2"/>
  <c r="Z388" i="2"/>
  <c r="Z389" i="2"/>
  <c r="Z390" i="2"/>
  <c r="Z391" i="2"/>
  <c r="Z392" i="2"/>
  <c r="Z393" i="2"/>
  <c r="Z394" i="2"/>
  <c r="Z395" i="2"/>
  <c r="Z396" i="2"/>
  <c r="Z397" i="2"/>
  <c r="Z398" i="2"/>
  <c r="Z399" i="2"/>
  <c r="Z400" i="2"/>
  <c r="Z401" i="2"/>
  <c r="Z402" i="2"/>
  <c r="Z403" i="2"/>
  <c r="Z404" i="2"/>
  <c r="Z405" i="2"/>
  <c r="Z406" i="2"/>
  <c r="Z407" i="2"/>
  <c r="Z408" i="2"/>
  <c r="Z409" i="2"/>
  <c r="Z415" i="2"/>
  <c r="Z416" i="2"/>
  <c r="Z417" i="2"/>
  <c r="Z418" i="2"/>
  <c r="Z419" i="2"/>
  <c r="Z420" i="2"/>
  <c r="Z421" i="2"/>
  <c r="Z422" i="2"/>
  <c r="Z423" i="2"/>
  <c r="Z424" i="2"/>
  <c r="Z425" i="2"/>
  <c r="Z426" i="2"/>
  <c r="Z427" i="2"/>
  <c r="Z428" i="2"/>
  <c r="Z429" i="2"/>
  <c r="Z430" i="2"/>
  <c r="Z431" i="2"/>
  <c r="Z432" i="2"/>
  <c r="Z433" i="2"/>
  <c r="Z434" i="2"/>
  <c r="Z435" i="2"/>
  <c r="Z436" i="2"/>
  <c r="Z437" i="2"/>
  <c r="Z438" i="2"/>
  <c r="Z439" i="2"/>
  <c r="Z440" i="2"/>
  <c r="Z441" i="2"/>
  <c r="Z442" i="2"/>
  <c r="Z443" i="2"/>
  <c r="Z444" i="2"/>
  <c r="Z445" i="2"/>
  <c r="Z446" i="2"/>
  <c r="Z447" i="2"/>
  <c r="Z448" i="2"/>
  <c r="Z449" i="2"/>
  <c r="Z450" i="2"/>
  <c r="Z451" i="2"/>
  <c r="Z452" i="2"/>
  <c r="Z453" i="2"/>
  <c r="Z454" i="2"/>
  <c r="Z455" i="2"/>
  <c r="Z456" i="2"/>
  <c r="Z457" i="2"/>
  <c r="Z458" i="2"/>
  <c r="Z459" i="2"/>
  <c r="Z460" i="2"/>
  <c r="Z461" i="2"/>
  <c r="Z462" i="2"/>
  <c r="Z463" i="2"/>
  <c r="Z464" i="2"/>
  <c r="Z465" i="2"/>
  <c r="Z466" i="2"/>
  <c r="Z467" i="2"/>
  <c r="Z468" i="2"/>
  <c r="Z469" i="2"/>
  <c r="Z470" i="2"/>
  <c r="Z471" i="2"/>
  <c r="Z472" i="2"/>
  <c r="Z473" i="2"/>
  <c r="Z474" i="2"/>
  <c r="Z475" i="2"/>
  <c r="Z476" i="2"/>
  <c r="Z477" i="2"/>
  <c r="Z478" i="2"/>
  <c r="Z479" i="2"/>
  <c r="Z480" i="2"/>
  <c r="Z481" i="2"/>
  <c r="Z482" i="2"/>
  <c r="Z483" i="2"/>
  <c r="Z484" i="2"/>
  <c r="Z485" i="2"/>
  <c r="Z486" i="2"/>
  <c r="Z487" i="2"/>
  <c r="Z488" i="2"/>
  <c r="Z489" i="2"/>
  <c r="Z490" i="2"/>
  <c r="Z491" i="2"/>
  <c r="Z492" i="2"/>
  <c r="Z493" i="2"/>
  <c r="Z494" i="2"/>
  <c r="Z495" i="2"/>
  <c r="Z496" i="2"/>
  <c r="Z497" i="2"/>
  <c r="Z498" i="2"/>
  <c r="Z499" i="2"/>
  <c r="Z500" i="2"/>
  <c r="Z501" i="2"/>
  <c r="Z502" i="2"/>
  <c r="Z503" i="2"/>
  <c r="Z504" i="2"/>
  <c r="Z505" i="2"/>
  <c r="Z506" i="2"/>
  <c r="Z507" i="2"/>
  <c r="Z508" i="2"/>
  <c r="Z509" i="2"/>
  <c r="Z510" i="2"/>
  <c r="Z511" i="2"/>
  <c r="Z512" i="2"/>
  <c r="Z513" i="2"/>
  <c r="Z514" i="2"/>
  <c r="Z515" i="2"/>
  <c r="Z516" i="2"/>
  <c r="Z517" i="2"/>
  <c r="Z518" i="2"/>
  <c r="Z519" i="2"/>
  <c r="Z520" i="2"/>
  <c r="Z521" i="2"/>
  <c r="Z522" i="2"/>
  <c r="Z523" i="2"/>
  <c r="Z524" i="2"/>
  <c r="Z525" i="2"/>
  <c r="Z526" i="2"/>
  <c r="Z527" i="2"/>
  <c r="Z528" i="2"/>
  <c r="Z529" i="2"/>
  <c r="Z530" i="2"/>
  <c r="Z531" i="2"/>
  <c r="Z532" i="2"/>
  <c r="Z533" i="2"/>
  <c r="Z534" i="2"/>
  <c r="Z535" i="2"/>
  <c r="Z536" i="2"/>
  <c r="Z537" i="2"/>
  <c r="Z538" i="2"/>
  <c r="Z539" i="2"/>
  <c r="Z540" i="2"/>
  <c r="Z541" i="2"/>
  <c r="Z542" i="2"/>
  <c r="Z543" i="2"/>
  <c r="Z544" i="2"/>
  <c r="Z545" i="2"/>
  <c r="Z546" i="2"/>
  <c r="Z547" i="2"/>
  <c r="Z548" i="2"/>
  <c r="Z549" i="2"/>
  <c r="Z550" i="2"/>
  <c r="Z551" i="2"/>
  <c r="Z552" i="2"/>
  <c r="Z553" i="2"/>
  <c r="Z554" i="2"/>
  <c r="Z555" i="2"/>
  <c r="Z556" i="2"/>
  <c r="Z557" i="2"/>
  <c r="Z558" i="2"/>
  <c r="Z559" i="2"/>
  <c r="Z560" i="2"/>
  <c r="Z561" i="2"/>
  <c r="Z562" i="2"/>
  <c r="Z563" i="2"/>
  <c r="Z564" i="2"/>
  <c r="Z565" i="2"/>
  <c r="Z566" i="2"/>
  <c r="Z567" i="2"/>
  <c r="Z568" i="2"/>
  <c r="Z569" i="2"/>
  <c r="Z570" i="2"/>
  <c r="Z571" i="2"/>
  <c r="Z572" i="2"/>
  <c r="Z573" i="2"/>
  <c r="Z574" i="2"/>
  <c r="Z575" i="2"/>
  <c r="Z576" i="2"/>
  <c r="Z577" i="2"/>
  <c r="Z578" i="2"/>
  <c r="Z579" i="2"/>
  <c r="Z580" i="2"/>
  <c r="Z581" i="2"/>
  <c r="Z582" i="2"/>
  <c r="Z583" i="2"/>
  <c r="Z584" i="2"/>
  <c r="Z585" i="2"/>
  <c r="Z586" i="2"/>
  <c r="Z587" i="2"/>
  <c r="Z588" i="2"/>
  <c r="Z589" i="2"/>
  <c r="Z590" i="2"/>
  <c r="Z591" i="2"/>
  <c r="Z592" i="2"/>
  <c r="Z593" i="2"/>
  <c r="Z594" i="2"/>
  <c r="Z595" i="2"/>
  <c r="Z596" i="2"/>
  <c r="Z597" i="2"/>
  <c r="Z598" i="2"/>
  <c r="Z599" i="2"/>
  <c r="Z600" i="2"/>
  <c r="Z610" i="2"/>
  <c r="Z611" i="2"/>
  <c r="Z612" i="2"/>
  <c r="Z613" i="2"/>
  <c r="Z614" i="2"/>
  <c r="Z615" i="2"/>
  <c r="Z616" i="2"/>
  <c r="Z617" i="2"/>
  <c r="Z618" i="2"/>
  <c r="Z619" i="2"/>
  <c r="R410" i="2"/>
  <c r="Z757" i="2"/>
  <c r="Z758" i="2"/>
  <c r="Z759" i="2"/>
  <c r="Z760" i="2"/>
  <c r="Z761" i="2"/>
  <c r="Z762" i="2"/>
  <c r="Z620" i="2"/>
  <c r="Z621" i="2"/>
  <c r="Z622" i="2"/>
  <c r="Z623" i="2"/>
  <c r="Z624" i="2"/>
  <c r="Z625" i="2"/>
  <c r="Z626" i="2"/>
  <c r="Z627" i="2"/>
  <c r="Z628" i="2"/>
  <c r="Z629" i="2"/>
  <c r="Z630" i="2"/>
  <c r="Z631" i="2"/>
  <c r="Z632" i="2"/>
  <c r="Z633" i="2"/>
  <c r="Z634" i="2"/>
  <c r="Z635" i="2"/>
  <c r="Z636" i="2"/>
  <c r="Z637" i="2"/>
  <c r="Z638" i="2"/>
  <c r="Z639" i="2"/>
  <c r="Z640" i="2"/>
  <c r="Z641" i="2"/>
  <c r="Z642" i="2"/>
  <c r="Z643" i="2"/>
  <c r="Z644" i="2"/>
  <c r="T644" i="2" s="1"/>
  <c r="Z645" i="2"/>
  <c r="Z646" i="2"/>
  <c r="Z647" i="2"/>
  <c r="Z648" i="2"/>
  <c r="Z649" i="2"/>
  <c r="Z650" i="2"/>
  <c r="Z651" i="2"/>
  <c r="Z652" i="2"/>
  <c r="Z653" i="2"/>
  <c r="Z654" i="2"/>
  <c r="Z655" i="2"/>
  <c r="Z656" i="2"/>
  <c r="Z657" i="2"/>
  <c r="Z658" i="2"/>
  <c r="Z659" i="2"/>
  <c r="Z660" i="2"/>
  <c r="Z661" i="2"/>
  <c r="Z662" i="2"/>
  <c r="Z663" i="2"/>
  <c r="Z664" i="2"/>
  <c r="Z665" i="2"/>
  <c r="Z666" i="2"/>
  <c r="Z667" i="2"/>
  <c r="Z668" i="2"/>
  <c r="Z669" i="2"/>
  <c r="Z670" i="2"/>
  <c r="Z671" i="2"/>
  <c r="Z672" i="2"/>
  <c r="Z673" i="2"/>
  <c r="Z674" i="2"/>
  <c r="Z675" i="2"/>
  <c r="Z676" i="2"/>
  <c r="Z677" i="2"/>
  <c r="Z678" i="2"/>
  <c r="Z679" i="2"/>
  <c r="Z680" i="2"/>
  <c r="Z681" i="2"/>
  <c r="Z682" i="2"/>
  <c r="T683" i="2"/>
  <c r="Z691" i="2"/>
  <c r="Z692" i="2"/>
  <c r="Z693" i="2"/>
  <c r="Z694" i="2"/>
  <c r="Z695" i="2"/>
  <c r="Z696" i="2"/>
  <c r="Z697" i="2"/>
  <c r="Z698" i="2"/>
  <c r="Z699" i="2"/>
  <c r="Z700" i="2"/>
  <c r="Z701" i="2"/>
  <c r="Z702" i="2"/>
  <c r="Z703" i="2"/>
  <c r="Z708" i="2"/>
  <c r="Z709" i="2"/>
  <c r="Z710" i="2"/>
  <c r="Z711" i="2"/>
  <c r="Z712" i="2"/>
  <c r="Z713" i="2"/>
  <c r="Z714" i="2"/>
  <c r="Z715" i="2"/>
  <c r="Z716" i="2"/>
  <c r="Z717" i="2"/>
  <c r="Z718" i="2"/>
  <c r="Z719" i="2"/>
  <c r="Z720" i="2"/>
  <c r="Z721" i="2"/>
  <c r="Z722" i="2"/>
  <c r="Z723" i="2"/>
  <c r="Z724" i="2"/>
  <c r="Z727" i="2"/>
  <c r="Z728" i="2"/>
  <c r="Z729" i="2"/>
  <c r="Z730" i="2"/>
  <c r="Z731" i="2"/>
  <c r="Z732" i="2"/>
  <c r="Z733" i="2"/>
  <c r="Z734" i="2"/>
  <c r="Z735" i="2"/>
  <c r="Z736" i="2"/>
  <c r="Z751" i="2"/>
  <c r="Z752" i="2"/>
  <c r="Z753" i="2"/>
  <c r="Z754" i="2"/>
  <c r="Z755" i="2"/>
  <c r="Z764" i="2"/>
  <c r="Z765" i="2"/>
  <c r="Z766" i="2"/>
  <c r="Z767" i="2"/>
  <c r="Z928" i="2"/>
  <c r="Z929" i="2"/>
  <c r="R763" i="2"/>
  <c r="R842" i="2"/>
  <c r="R844" i="2"/>
  <c r="R841" i="2"/>
  <c r="R843" i="2"/>
  <c r="R845" i="2"/>
  <c r="W8" i="1"/>
  <c r="X8" i="1"/>
  <c r="W10" i="1"/>
  <c r="X10" i="1"/>
  <c r="W17" i="1"/>
  <c r="X17" i="1"/>
  <c r="W20" i="1"/>
  <c r="X20" i="1"/>
  <c r="W26" i="1"/>
  <c r="X26" i="1"/>
  <c r="W182" i="1"/>
  <c r="W7" i="1"/>
  <c r="X7" i="1"/>
  <c r="W9" i="1"/>
  <c r="X9" i="1"/>
  <c r="X11" i="1"/>
  <c r="W21" i="1"/>
  <c r="X21" i="1"/>
  <c r="X24" i="1"/>
  <c r="X28" i="1"/>
  <c r="X181" i="1"/>
  <c r="W181" i="1"/>
  <c r="X183" i="1"/>
  <c r="W183" i="1"/>
  <c r="P131" i="1"/>
  <c r="W121" i="1"/>
  <c r="X121" i="1" s="1"/>
  <c r="X203" i="1"/>
  <c r="W203" i="1"/>
  <c r="X205" i="1"/>
  <c r="W205" i="1"/>
  <c r="X207" i="1"/>
  <c r="W207" i="1"/>
  <c r="X209" i="1"/>
  <c r="W209" i="1"/>
  <c r="X211" i="1"/>
  <c r="W211" i="1"/>
  <c r="X213" i="1"/>
  <c r="W213" i="1"/>
  <c r="X215" i="1"/>
  <c r="W215" i="1"/>
  <c r="X217" i="1"/>
  <c r="W217" i="1"/>
  <c r="X219" i="1"/>
  <c r="W219" i="1"/>
  <c r="X221" i="1"/>
  <c r="W221" i="1"/>
  <c r="X223" i="1"/>
  <c r="W223" i="1"/>
  <c r="X225" i="1"/>
  <c r="W225" i="1"/>
  <c r="W227" i="1"/>
  <c r="X227" i="1"/>
  <c r="W14" i="1"/>
  <c r="W16" i="1"/>
  <c r="W19" i="1"/>
  <c r="W23" i="1"/>
  <c r="W25" i="1"/>
  <c r="X136" i="1"/>
  <c r="V175" i="1"/>
  <c r="X185" i="1"/>
  <c r="W185" i="1"/>
  <c r="X187" i="1"/>
  <c r="W187" i="1"/>
  <c r="X189" i="1"/>
  <c r="W189" i="1"/>
  <c r="X191" i="1"/>
  <c r="W191" i="1"/>
  <c r="X193" i="1"/>
  <c r="W193" i="1"/>
  <c r="X195" i="1"/>
  <c r="W195" i="1"/>
  <c r="X197" i="1"/>
  <c r="W197" i="1"/>
  <c r="X199" i="1"/>
  <c r="W199" i="1"/>
  <c r="X201" i="1"/>
  <c r="W201" i="1"/>
  <c r="X202" i="1"/>
  <c r="W202" i="1"/>
  <c r="X204" i="1"/>
  <c r="W204" i="1"/>
  <c r="X206" i="1"/>
  <c r="W206" i="1"/>
  <c r="X208" i="1"/>
  <c r="W208" i="1"/>
  <c r="X210" i="1"/>
  <c r="W210" i="1"/>
  <c r="X212" i="1"/>
  <c r="W212" i="1"/>
  <c r="X214" i="1"/>
  <c r="W214" i="1"/>
  <c r="X216" i="1"/>
  <c r="W216" i="1"/>
  <c r="X218" i="1"/>
  <c r="W218" i="1"/>
  <c r="X220" i="1"/>
  <c r="W220" i="1"/>
  <c r="X222" i="1"/>
  <c r="W222" i="1"/>
  <c r="X224" i="1"/>
  <c r="W224" i="1"/>
  <c r="X226" i="1"/>
  <c r="W226" i="1"/>
  <c r="T131" i="1"/>
  <c r="T271" i="1"/>
  <c r="W303" i="1"/>
  <c r="W300" i="1"/>
  <c r="X300" i="1"/>
  <c r="W323" i="1"/>
  <c r="T229" i="1"/>
  <c r="X233" i="1"/>
  <c r="W320" i="1"/>
  <c r="X334" i="1"/>
  <c r="T363" i="1"/>
  <c r="T374" i="1"/>
  <c r="T376" i="1" s="1"/>
  <c r="T40" i="3" l="1"/>
  <c r="V374" i="1"/>
  <c r="W297" i="1"/>
  <c r="W327" i="1"/>
  <c r="X354" i="1"/>
  <c r="T11" i="3"/>
  <c r="S11" i="3"/>
  <c r="T13" i="3"/>
  <c r="N48" i="3"/>
  <c r="B7" i="10" s="1"/>
  <c r="U23" i="3"/>
  <c r="X299" i="1"/>
  <c r="X288" i="1"/>
  <c r="W355" i="1"/>
  <c r="X306" i="1"/>
  <c r="X331" i="1"/>
  <c r="W322" i="1"/>
  <c r="W293" i="1"/>
  <c r="X351" i="1"/>
  <c r="W304" i="1"/>
  <c r="W290" i="1"/>
  <c r="X312" i="1"/>
  <c r="X291" i="1"/>
  <c r="T15" i="3"/>
  <c r="U7" i="3"/>
  <c r="U45" i="3"/>
  <c r="U46" i="3" s="1"/>
  <c r="X373" i="1"/>
  <c r="X374" i="1" s="1"/>
  <c r="X350" i="1"/>
  <c r="X321" i="1"/>
  <c r="W292" i="1"/>
  <c r="X310" i="1"/>
  <c r="X302" i="1"/>
  <c r="W362" i="1"/>
  <c r="R967" i="2"/>
  <c r="X360" i="1"/>
  <c r="T42" i="3"/>
  <c r="W325" i="1"/>
  <c r="W352" i="1"/>
  <c r="X370" i="1"/>
  <c r="X371" i="1" s="1"/>
  <c r="X376" i="1" s="1"/>
  <c r="X329" i="1"/>
  <c r="X348" i="1"/>
  <c r="X301" i="1"/>
  <c r="W311" i="1"/>
  <c r="X294" i="1"/>
  <c r="X289" i="1"/>
  <c r="W295" i="1"/>
  <c r="V376" i="1"/>
  <c r="T365" i="1"/>
  <c r="W356" i="1"/>
  <c r="X324" i="1"/>
  <c r="X305" i="1"/>
  <c r="X175" i="1"/>
  <c r="P133" i="1"/>
  <c r="P177" i="1" s="1"/>
  <c r="P231" i="1" s="1"/>
  <c r="P275" i="1" s="1"/>
  <c r="P318" i="1" s="1"/>
  <c r="P367" i="1" s="1"/>
  <c r="P378" i="1" s="1"/>
  <c r="W298" i="1"/>
  <c r="V363" i="1"/>
  <c r="W326" i="1"/>
  <c r="X359" i="1"/>
  <c r="X353" i="1"/>
  <c r="X349" i="1"/>
  <c r="W314" i="1"/>
  <c r="W308" i="1"/>
  <c r="W359" i="1"/>
  <c r="X296" i="1"/>
  <c r="X330" i="1"/>
  <c r="W361" i="1"/>
  <c r="V357" i="1"/>
  <c r="X328" i="1"/>
  <c r="X307" i="1"/>
  <c r="W175" i="1"/>
  <c r="W286" i="1"/>
  <c r="T276" i="2"/>
  <c r="V276" i="2" s="1"/>
  <c r="T928" i="2"/>
  <c r="U928" i="2" s="1"/>
  <c r="T773" i="2"/>
  <c r="V773" i="2" s="1"/>
  <c r="T777" i="2"/>
  <c r="V777" i="2" s="1"/>
  <c r="T895" i="2"/>
  <c r="U895" i="2" s="1"/>
  <c r="T899" i="2"/>
  <c r="U899" i="2" s="1"/>
  <c r="T903" i="2"/>
  <c r="V903" i="2" s="1"/>
  <c r="T912" i="2"/>
  <c r="U912" i="2" s="1"/>
  <c r="T920" i="2"/>
  <c r="V920" i="2" s="1"/>
  <c r="T933" i="2"/>
  <c r="V933" i="2" s="1"/>
  <c r="T946" i="2"/>
  <c r="U946" i="2" s="1"/>
  <c r="T950" i="2"/>
  <c r="U950" i="2" s="1"/>
  <c r="T908" i="2"/>
  <c r="V908" i="2" s="1"/>
  <c r="T909" i="2"/>
  <c r="V909" i="2" s="1"/>
  <c r="V131" i="1"/>
  <c r="T792" i="2"/>
  <c r="U792" i="2" s="1"/>
  <c r="T886" i="2"/>
  <c r="V886" i="2" s="1"/>
  <c r="T894" i="2"/>
  <c r="V894" i="2" s="1"/>
  <c r="T898" i="2"/>
  <c r="U898" i="2" s="1"/>
  <c r="T902" i="2"/>
  <c r="V902" i="2" s="1"/>
  <c r="T911" i="2"/>
  <c r="V911" i="2" s="1"/>
  <c r="T915" i="2"/>
  <c r="U915" i="2" s="1"/>
  <c r="T943" i="2"/>
  <c r="T944" i="2" s="1"/>
  <c r="T906" i="2"/>
  <c r="V906" i="2" s="1"/>
  <c r="T910" i="2"/>
  <c r="V910" i="2" s="1"/>
  <c r="T907" i="2"/>
  <c r="V907" i="2" s="1"/>
  <c r="W370" i="1"/>
  <c r="W371" i="1" s="1"/>
  <c r="W376" i="1" s="1"/>
  <c r="U278" i="2"/>
  <c r="U69" i="2"/>
  <c r="U259" i="2"/>
  <c r="U279" i="2"/>
  <c r="U281" i="2"/>
  <c r="U223" i="2"/>
  <c r="U280" i="2"/>
  <c r="R411" i="2"/>
  <c r="R413" i="2" s="1"/>
  <c r="U158" i="2"/>
  <c r="W36" i="1"/>
  <c r="W34" i="1"/>
  <c r="X131" i="1"/>
  <c r="W27" i="1"/>
  <c r="W32" i="1"/>
  <c r="W13" i="1"/>
  <c r="W11" i="1"/>
  <c r="W30" i="1"/>
  <c r="W131" i="1"/>
  <c r="W22" i="1"/>
  <c r="W18" i="1"/>
  <c r="W12" i="1"/>
  <c r="U11" i="3"/>
  <c r="T9" i="3"/>
  <c r="W39" i="1"/>
  <c r="W37" i="1"/>
  <c r="W35" i="1"/>
  <c r="W31" i="1"/>
  <c r="W29" i="1"/>
  <c r="W33" i="1"/>
  <c r="T65" i="1"/>
  <c r="T133" i="1" s="1"/>
  <c r="T177" i="1" s="1"/>
  <c r="T231" i="1" s="1"/>
  <c r="T275" i="1" s="1"/>
  <c r="T318" i="1" s="1"/>
  <c r="Q38" i="3"/>
  <c r="Q48" i="3" s="1"/>
  <c r="T46" i="3"/>
  <c r="U41" i="3"/>
  <c r="U43" i="3" s="1"/>
  <c r="T41" i="3"/>
  <c r="U29" i="3"/>
  <c r="T29" i="3"/>
  <c r="U26" i="3"/>
  <c r="T26" i="3"/>
  <c r="U24" i="3"/>
  <c r="T24" i="3"/>
  <c r="U10" i="3"/>
  <c r="U20" i="3"/>
  <c r="T20" i="3"/>
  <c r="S36" i="3"/>
  <c r="T33" i="3"/>
  <c r="U30" i="3"/>
  <c r="T30" i="3"/>
  <c r="U28" i="3"/>
  <c r="T28" i="3"/>
  <c r="U25" i="3"/>
  <c r="T25" i="3"/>
  <c r="U34" i="3"/>
  <c r="T34" i="3"/>
  <c r="U21" i="3"/>
  <c r="U19" i="3"/>
  <c r="T19" i="3"/>
  <c r="U35" i="3"/>
  <c r="T35" i="3"/>
  <c r="S43" i="3"/>
  <c r="U12" i="3"/>
  <c r="T12" i="3"/>
  <c r="T935" i="2"/>
  <c r="U935" i="2" s="1"/>
  <c r="T937" i="2"/>
  <c r="U937" i="2" s="1"/>
  <c r="T939" i="2"/>
  <c r="U939" i="2" s="1"/>
  <c r="T952" i="2"/>
  <c r="U952" i="2" s="1"/>
  <c r="T954" i="2"/>
  <c r="U954" i="2" s="1"/>
  <c r="T956" i="2"/>
  <c r="U956" i="2" s="1"/>
  <c r="T958" i="2"/>
  <c r="U958" i="2" s="1"/>
  <c r="T960" i="2"/>
  <c r="U960" i="2" s="1"/>
  <c r="T962" i="2"/>
  <c r="U962" i="2" s="1"/>
  <c r="T964" i="2"/>
  <c r="U964" i="2" s="1"/>
  <c r="T929" i="2"/>
  <c r="U929" i="2" s="1"/>
  <c r="T934" i="2"/>
  <c r="U934" i="2" s="1"/>
  <c r="T936" i="2"/>
  <c r="U936" i="2" s="1"/>
  <c r="T938" i="2"/>
  <c r="U938" i="2" s="1"/>
  <c r="T947" i="2"/>
  <c r="U947" i="2" s="1"/>
  <c r="T951" i="2"/>
  <c r="U951" i="2" s="1"/>
  <c r="T953" i="2"/>
  <c r="U953" i="2" s="1"/>
  <c r="T955" i="2"/>
  <c r="U955" i="2" s="1"/>
  <c r="T957" i="2"/>
  <c r="U957" i="2" s="1"/>
  <c r="T959" i="2"/>
  <c r="U959" i="2" s="1"/>
  <c r="T961" i="2"/>
  <c r="U961" i="2" s="1"/>
  <c r="T963" i="2"/>
  <c r="U963" i="2" s="1"/>
  <c r="U18" i="3"/>
  <c r="T18" i="3"/>
  <c r="U33" i="3"/>
  <c r="T916" i="2"/>
  <c r="V916" i="2" s="1"/>
  <c r="R924" i="2"/>
  <c r="T917" i="2"/>
  <c r="U917" i="2" s="1"/>
  <c r="T921" i="2"/>
  <c r="T766" i="2"/>
  <c r="V766" i="2" s="1"/>
  <c r="T764" i="2"/>
  <c r="V764" i="2" s="1"/>
  <c r="T754" i="2"/>
  <c r="V754" i="2" s="1"/>
  <c r="T752" i="2"/>
  <c r="V752" i="2" s="1"/>
  <c r="T762" i="2"/>
  <c r="V762" i="2" s="1"/>
  <c r="T760" i="2"/>
  <c r="V760" i="2" s="1"/>
  <c r="T758" i="2"/>
  <c r="V758" i="2" s="1"/>
  <c r="T741" i="2"/>
  <c r="V741" i="2" s="1"/>
  <c r="T743" i="2"/>
  <c r="V743" i="2" s="1"/>
  <c r="T745" i="2"/>
  <c r="V745" i="2" s="1"/>
  <c r="T747" i="2"/>
  <c r="V747" i="2" s="1"/>
  <c r="T749" i="2"/>
  <c r="V749" i="2" s="1"/>
  <c r="T779" i="2"/>
  <c r="V779" i="2" s="1"/>
  <c r="T781" i="2"/>
  <c r="V781" i="2" s="1"/>
  <c r="T783" i="2"/>
  <c r="V783" i="2" s="1"/>
  <c r="T785" i="2"/>
  <c r="V785" i="2" s="1"/>
  <c r="T787" i="2"/>
  <c r="V787" i="2" s="1"/>
  <c r="T789" i="2"/>
  <c r="V789" i="2" s="1"/>
  <c r="T793" i="2"/>
  <c r="V793" i="2" s="1"/>
  <c r="T795" i="2"/>
  <c r="V795" i="2" s="1"/>
  <c r="T847" i="2"/>
  <c r="V847" i="2" s="1"/>
  <c r="T849" i="2"/>
  <c r="V849" i="2" s="1"/>
  <c r="T851" i="2"/>
  <c r="V851" i="2" s="1"/>
  <c r="T853" i="2"/>
  <c r="V853" i="2" s="1"/>
  <c r="T855" i="2"/>
  <c r="V855" i="2" s="1"/>
  <c r="T857" i="2"/>
  <c r="V857" i="2" s="1"/>
  <c r="T859" i="2"/>
  <c r="V859" i="2" s="1"/>
  <c r="T861" i="2"/>
  <c r="V861" i="2" s="1"/>
  <c r="T863" i="2"/>
  <c r="V863" i="2" s="1"/>
  <c r="T865" i="2"/>
  <c r="V865" i="2" s="1"/>
  <c r="T867" i="2"/>
  <c r="V867" i="2" s="1"/>
  <c r="T869" i="2"/>
  <c r="V869" i="2" s="1"/>
  <c r="T871" i="2"/>
  <c r="V871" i="2" s="1"/>
  <c r="T873" i="2"/>
  <c r="V873" i="2" s="1"/>
  <c r="T875" i="2"/>
  <c r="V875" i="2" s="1"/>
  <c r="T877" i="2"/>
  <c r="V877" i="2" s="1"/>
  <c r="T879" i="2"/>
  <c r="V879" i="2" s="1"/>
  <c r="T881" i="2"/>
  <c r="V881" i="2" s="1"/>
  <c r="T798" i="2"/>
  <c r="V798" i="2" s="1"/>
  <c r="T800" i="2"/>
  <c r="V800" i="2" s="1"/>
  <c r="T802" i="2"/>
  <c r="V802" i="2" s="1"/>
  <c r="T804" i="2"/>
  <c r="V804" i="2" s="1"/>
  <c r="T806" i="2"/>
  <c r="V806" i="2" s="1"/>
  <c r="T808" i="2"/>
  <c r="V808" i="2" s="1"/>
  <c r="T810" i="2"/>
  <c r="V810" i="2" s="1"/>
  <c r="T812" i="2"/>
  <c r="V812" i="2" s="1"/>
  <c r="T814" i="2"/>
  <c r="V814" i="2" s="1"/>
  <c r="T816" i="2"/>
  <c r="T818" i="2"/>
  <c r="V818" i="2" s="1"/>
  <c r="T820" i="2"/>
  <c r="V820" i="2" s="1"/>
  <c r="T822" i="2"/>
  <c r="V822" i="2" s="1"/>
  <c r="T824" i="2"/>
  <c r="T826" i="2"/>
  <c r="V826" i="2" s="1"/>
  <c r="T828" i="2"/>
  <c r="V828" i="2" s="1"/>
  <c r="T830" i="2"/>
  <c r="V830" i="2" s="1"/>
  <c r="T832" i="2"/>
  <c r="T834" i="2"/>
  <c r="V834" i="2" s="1"/>
  <c r="T836" i="2"/>
  <c r="V836" i="2" s="1"/>
  <c r="T838" i="2"/>
  <c r="V838" i="2" s="1"/>
  <c r="T840" i="2"/>
  <c r="T763" i="2"/>
  <c r="U763" i="2" s="1"/>
  <c r="T841" i="2"/>
  <c r="U841" i="2" s="1"/>
  <c r="T845" i="2"/>
  <c r="U845" i="2" s="1"/>
  <c r="T844" i="2"/>
  <c r="U844" i="2" s="1"/>
  <c r="T885" i="2"/>
  <c r="N706" i="2"/>
  <c r="N739" i="2" s="1"/>
  <c r="N771" i="2" s="1"/>
  <c r="N892" i="2" s="1"/>
  <c r="N926" i="2" s="1"/>
  <c r="N969" i="2" s="1"/>
  <c r="N1008" i="2" s="1"/>
  <c r="R769" i="2"/>
  <c r="T767" i="2"/>
  <c r="T765" i="2"/>
  <c r="V765" i="2" s="1"/>
  <c r="T755" i="2"/>
  <c r="U755" i="2" s="1"/>
  <c r="T753" i="2"/>
  <c r="U753" i="2" s="1"/>
  <c r="T751" i="2"/>
  <c r="U751" i="2" s="1"/>
  <c r="T761" i="2"/>
  <c r="U761" i="2" s="1"/>
  <c r="T759" i="2"/>
  <c r="U759" i="2" s="1"/>
  <c r="T757" i="2"/>
  <c r="U757" i="2" s="1"/>
  <c r="T742" i="2"/>
  <c r="V742" i="2" s="1"/>
  <c r="T744" i="2"/>
  <c r="U744" i="2" s="1"/>
  <c r="T746" i="2"/>
  <c r="V746" i="2" s="1"/>
  <c r="T748" i="2"/>
  <c r="U748" i="2" s="1"/>
  <c r="T750" i="2"/>
  <c r="V750" i="2" s="1"/>
  <c r="T756" i="2"/>
  <c r="V756" i="2" s="1"/>
  <c r="T774" i="2"/>
  <c r="U774" i="2" s="1"/>
  <c r="T778" i="2"/>
  <c r="U778" i="2" s="1"/>
  <c r="T780" i="2"/>
  <c r="V780" i="2" s="1"/>
  <c r="T782" i="2"/>
  <c r="U782" i="2" s="1"/>
  <c r="T784" i="2"/>
  <c r="V784" i="2" s="1"/>
  <c r="T786" i="2"/>
  <c r="U786" i="2" s="1"/>
  <c r="T788" i="2"/>
  <c r="V788" i="2" s="1"/>
  <c r="T794" i="2"/>
  <c r="V794" i="2" s="1"/>
  <c r="T796" i="2"/>
  <c r="U796" i="2" s="1"/>
  <c r="T846" i="2"/>
  <c r="V846" i="2" s="1"/>
  <c r="T848" i="2"/>
  <c r="U848" i="2" s="1"/>
  <c r="T850" i="2"/>
  <c r="V850" i="2" s="1"/>
  <c r="T852" i="2"/>
  <c r="U852" i="2" s="1"/>
  <c r="T854" i="2"/>
  <c r="V854" i="2" s="1"/>
  <c r="T856" i="2"/>
  <c r="U856" i="2" s="1"/>
  <c r="T858" i="2"/>
  <c r="V858" i="2" s="1"/>
  <c r="T860" i="2"/>
  <c r="U860" i="2" s="1"/>
  <c r="T862" i="2"/>
  <c r="V862" i="2" s="1"/>
  <c r="T864" i="2"/>
  <c r="U864" i="2" s="1"/>
  <c r="T866" i="2"/>
  <c r="V866" i="2" s="1"/>
  <c r="T868" i="2"/>
  <c r="U868" i="2" s="1"/>
  <c r="T870" i="2"/>
  <c r="V870" i="2" s="1"/>
  <c r="T872" i="2"/>
  <c r="U872" i="2" s="1"/>
  <c r="T874" i="2"/>
  <c r="V874" i="2" s="1"/>
  <c r="T876" i="2"/>
  <c r="U876" i="2" s="1"/>
  <c r="T878" i="2"/>
  <c r="V878" i="2" s="1"/>
  <c r="T880" i="2"/>
  <c r="U880" i="2" s="1"/>
  <c r="T882" i="2"/>
  <c r="V882" i="2" s="1"/>
  <c r="T797" i="2"/>
  <c r="U797" i="2" s="1"/>
  <c r="T799" i="2"/>
  <c r="V799" i="2" s="1"/>
  <c r="T801" i="2"/>
  <c r="U801" i="2" s="1"/>
  <c r="T803" i="2"/>
  <c r="V803" i="2" s="1"/>
  <c r="T805" i="2"/>
  <c r="U805" i="2" s="1"/>
  <c r="T807" i="2"/>
  <c r="V807" i="2" s="1"/>
  <c r="T809" i="2"/>
  <c r="U809" i="2" s="1"/>
  <c r="T811" i="2"/>
  <c r="V811" i="2" s="1"/>
  <c r="T813" i="2"/>
  <c r="U813" i="2" s="1"/>
  <c r="T815" i="2"/>
  <c r="V815" i="2" s="1"/>
  <c r="T817" i="2"/>
  <c r="U817" i="2" s="1"/>
  <c r="T819" i="2"/>
  <c r="V819" i="2" s="1"/>
  <c r="T821" i="2"/>
  <c r="U821" i="2" s="1"/>
  <c r="T823" i="2"/>
  <c r="V823" i="2" s="1"/>
  <c r="T825" i="2"/>
  <c r="U825" i="2" s="1"/>
  <c r="T827" i="2"/>
  <c r="V827" i="2" s="1"/>
  <c r="T829" i="2"/>
  <c r="U829" i="2" s="1"/>
  <c r="T831" i="2"/>
  <c r="V831" i="2" s="1"/>
  <c r="T833" i="2"/>
  <c r="U833" i="2" s="1"/>
  <c r="T835" i="2"/>
  <c r="V835" i="2" s="1"/>
  <c r="T837" i="2"/>
  <c r="U837" i="2" s="1"/>
  <c r="T839" i="2"/>
  <c r="V839" i="2" s="1"/>
  <c r="T843" i="2"/>
  <c r="U843" i="2" s="1"/>
  <c r="T842" i="2"/>
  <c r="U842" i="2" s="1"/>
  <c r="T887" i="2"/>
  <c r="V887" i="2" s="1"/>
  <c r="T735" i="2"/>
  <c r="T733" i="2"/>
  <c r="T731" i="2"/>
  <c r="V731" i="2" s="1"/>
  <c r="T729" i="2"/>
  <c r="V729" i="2" s="1"/>
  <c r="T727" i="2"/>
  <c r="T723" i="2"/>
  <c r="T721" i="2"/>
  <c r="V721" i="2" s="1"/>
  <c r="T719" i="2"/>
  <c r="T717" i="2"/>
  <c r="V717" i="2" s="1"/>
  <c r="T715" i="2"/>
  <c r="T713" i="2"/>
  <c r="T711" i="2"/>
  <c r="T709" i="2"/>
  <c r="T726" i="2"/>
  <c r="T736" i="2"/>
  <c r="AA737" i="2"/>
  <c r="T734" i="2"/>
  <c r="T732" i="2"/>
  <c r="V732" i="2" s="1"/>
  <c r="T730" i="2"/>
  <c r="T728" i="2"/>
  <c r="T724" i="2"/>
  <c r="T722" i="2"/>
  <c r="T720" i="2"/>
  <c r="V720" i="2" s="1"/>
  <c r="T718" i="2"/>
  <c r="V718" i="2" s="1"/>
  <c r="T716" i="2"/>
  <c r="V716" i="2" s="1"/>
  <c r="T714" i="2"/>
  <c r="T712" i="2"/>
  <c r="T710" i="2"/>
  <c r="T708" i="2"/>
  <c r="T725" i="2"/>
  <c r="T702" i="2"/>
  <c r="T700" i="2"/>
  <c r="T698" i="2"/>
  <c r="T696" i="2"/>
  <c r="T694" i="2"/>
  <c r="T692" i="2"/>
  <c r="U683" i="2"/>
  <c r="V683" i="2"/>
  <c r="T681" i="2"/>
  <c r="T679" i="2"/>
  <c r="T677" i="2"/>
  <c r="T675" i="2"/>
  <c r="T673" i="2"/>
  <c r="T671" i="2"/>
  <c r="T669" i="2"/>
  <c r="T667" i="2"/>
  <c r="T665" i="2"/>
  <c r="T663" i="2"/>
  <c r="T661" i="2"/>
  <c r="T659" i="2"/>
  <c r="T657" i="2"/>
  <c r="T655" i="2"/>
  <c r="T653" i="2"/>
  <c r="T651" i="2"/>
  <c r="T649" i="2"/>
  <c r="T647" i="2"/>
  <c r="T645" i="2"/>
  <c r="T643" i="2"/>
  <c r="T641" i="2"/>
  <c r="T639" i="2"/>
  <c r="T637" i="2"/>
  <c r="T635" i="2"/>
  <c r="T633" i="2"/>
  <c r="T631" i="2"/>
  <c r="T629" i="2"/>
  <c r="T627" i="2"/>
  <c r="T625" i="2"/>
  <c r="T623" i="2"/>
  <c r="T621" i="2"/>
  <c r="T619" i="2"/>
  <c r="T617" i="2"/>
  <c r="T615" i="2"/>
  <c r="T613" i="2"/>
  <c r="T611" i="2"/>
  <c r="T599" i="2"/>
  <c r="T597" i="2"/>
  <c r="T595" i="2"/>
  <c r="T593" i="2"/>
  <c r="T591" i="2"/>
  <c r="T589" i="2"/>
  <c r="T587" i="2"/>
  <c r="T585" i="2"/>
  <c r="T583" i="2"/>
  <c r="T581" i="2"/>
  <c r="T579" i="2"/>
  <c r="T577" i="2"/>
  <c r="T575" i="2"/>
  <c r="T573" i="2"/>
  <c r="T571" i="2"/>
  <c r="T569" i="2"/>
  <c r="T567" i="2"/>
  <c r="T565" i="2"/>
  <c r="T563" i="2"/>
  <c r="T561" i="2"/>
  <c r="T559" i="2"/>
  <c r="T557" i="2"/>
  <c r="T555" i="2"/>
  <c r="T553" i="2"/>
  <c r="T551" i="2"/>
  <c r="T549" i="2"/>
  <c r="T547" i="2"/>
  <c r="T545" i="2"/>
  <c r="T543" i="2"/>
  <c r="T541" i="2"/>
  <c r="T539" i="2"/>
  <c r="T537" i="2"/>
  <c r="T535" i="2"/>
  <c r="T533" i="2"/>
  <c r="T531" i="2"/>
  <c r="T529" i="2"/>
  <c r="T527" i="2"/>
  <c r="T525" i="2"/>
  <c r="T523" i="2"/>
  <c r="T521" i="2"/>
  <c r="T519" i="2"/>
  <c r="T517" i="2"/>
  <c r="T515" i="2"/>
  <c r="T513" i="2"/>
  <c r="T511" i="2"/>
  <c r="T509" i="2"/>
  <c r="T507" i="2"/>
  <c r="T505" i="2"/>
  <c r="T503" i="2"/>
  <c r="T501" i="2"/>
  <c r="T499" i="2"/>
  <c r="T497" i="2"/>
  <c r="T495" i="2"/>
  <c r="T493" i="2"/>
  <c r="T491" i="2"/>
  <c r="T489" i="2"/>
  <c r="T487" i="2"/>
  <c r="T485" i="2"/>
  <c r="T483" i="2"/>
  <c r="T481" i="2"/>
  <c r="T479" i="2"/>
  <c r="T477" i="2"/>
  <c r="T475" i="2"/>
  <c r="T473" i="2"/>
  <c r="T471" i="2"/>
  <c r="T469" i="2"/>
  <c r="T467" i="2"/>
  <c r="T465" i="2"/>
  <c r="T463" i="2"/>
  <c r="T461" i="2"/>
  <c r="T459" i="2"/>
  <c r="T457" i="2"/>
  <c r="T455" i="2"/>
  <c r="T453" i="2"/>
  <c r="T451" i="2"/>
  <c r="T449" i="2"/>
  <c r="T447" i="2"/>
  <c r="T445" i="2"/>
  <c r="T443" i="2"/>
  <c r="T441" i="2"/>
  <c r="T439" i="2"/>
  <c r="T437" i="2"/>
  <c r="T435" i="2"/>
  <c r="T433" i="2"/>
  <c r="T431" i="2"/>
  <c r="T429" i="2"/>
  <c r="T427" i="2"/>
  <c r="T425" i="2"/>
  <c r="T423" i="2"/>
  <c r="T421" i="2"/>
  <c r="T419" i="2"/>
  <c r="T417" i="2"/>
  <c r="T415" i="2"/>
  <c r="T690" i="2"/>
  <c r="T703" i="2"/>
  <c r="AA704" i="2"/>
  <c r="T701" i="2"/>
  <c r="T699" i="2"/>
  <c r="T697" i="2"/>
  <c r="T695" i="2"/>
  <c r="T693" i="2"/>
  <c r="T691" i="2"/>
  <c r="T682" i="2"/>
  <c r="T680" i="2"/>
  <c r="T678" i="2"/>
  <c r="T676" i="2"/>
  <c r="T674" i="2"/>
  <c r="T672" i="2"/>
  <c r="T670" i="2"/>
  <c r="T668" i="2"/>
  <c r="T666" i="2"/>
  <c r="T664" i="2"/>
  <c r="T662" i="2"/>
  <c r="T660" i="2"/>
  <c r="T658" i="2"/>
  <c r="T656" i="2"/>
  <c r="T654" i="2"/>
  <c r="T652" i="2"/>
  <c r="T650" i="2"/>
  <c r="T648" i="2"/>
  <c r="T646" i="2"/>
  <c r="T642" i="2"/>
  <c r="T640" i="2"/>
  <c r="T638" i="2"/>
  <c r="T636" i="2"/>
  <c r="T634" i="2"/>
  <c r="T632" i="2"/>
  <c r="T630" i="2"/>
  <c r="T628" i="2"/>
  <c r="T626" i="2"/>
  <c r="T624" i="2"/>
  <c r="T622" i="2"/>
  <c r="T620" i="2"/>
  <c r="T618" i="2"/>
  <c r="T616" i="2"/>
  <c r="T614" i="2"/>
  <c r="T612" i="2"/>
  <c r="T610" i="2"/>
  <c r="T600" i="2"/>
  <c r="T598" i="2"/>
  <c r="T596" i="2"/>
  <c r="T594" i="2"/>
  <c r="T592" i="2"/>
  <c r="T590" i="2"/>
  <c r="T588" i="2"/>
  <c r="T586" i="2"/>
  <c r="T584" i="2"/>
  <c r="T582" i="2"/>
  <c r="T580" i="2"/>
  <c r="T578" i="2"/>
  <c r="T576" i="2"/>
  <c r="T574" i="2"/>
  <c r="T572" i="2"/>
  <c r="T570" i="2"/>
  <c r="T568" i="2"/>
  <c r="T566" i="2"/>
  <c r="T564" i="2"/>
  <c r="T562" i="2"/>
  <c r="T560" i="2"/>
  <c r="T558" i="2"/>
  <c r="T556" i="2"/>
  <c r="T554" i="2"/>
  <c r="T552" i="2"/>
  <c r="T550" i="2"/>
  <c r="T548" i="2"/>
  <c r="T546" i="2"/>
  <c r="T544" i="2"/>
  <c r="T542" i="2"/>
  <c r="T540" i="2"/>
  <c r="T538" i="2"/>
  <c r="T536" i="2"/>
  <c r="T534" i="2"/>
  <c r="T532" i="2"/>
  <c r="T530" i="2"/>
  <c r="T528" i="2"/>
  <c r="T526" i="2"/>
  <c r="T524" i="2"/>
  <c r="T522" i="2"/>
  <c r="T520" i="2"/>
  <c r="T518" i="2"/>
  <c r="T516" i="2"/>
  <c r="T514" i="2"/>
  <c r="T512" i="2"/>
  <c r="T510" i="2"/>
  <c r="T508" i="2"/>
  <c r="T506" i="2"/>
  <c r="T504" i="2"/>
  <c r="T502" i="2"/>
  <c r="T500" i="2"/>
  <c r="T498" i="2"/>
  <c r="T496" i="2"/>
  <c r="T494" i="2"/>
  <c r="T492" i="2"/>
  <c r="T490" i="2"/>
  <c r="T488" i="2"/>
  <c r="T486" i="2"/>
  <c r="T484" i="2"/>
  <c r="T482" i="2"/>
  <c r="T480" i="2"/>
  <c r="T478" i="2"/>
  <c r="T476" i="2"/>
  <c r="T474" i="2"/>
  <c r="T472" i="2"/>
  <c r="T470" i="2"/>
  <c r="T468" i="2"/>
  <c r="T466" i="2"/>
  <c r="T464" i="2"/>
  <c r="T462" i="2"/>
  <c r="T460" i="2"/>
  <c r="T458" i="2"/>
  <c r="T456" i="2"/>
  <c r="T454" i="2"/>
  <c r="T452" i="2"/>
  <c r="T450" i="2"/>
  <c r="T448" i="2"/>
  <c r="T446" i="2"/>
  <c r="T444" i="2"/>
  <c r="T442" i="2"/>
  <c r="T440" i="2"/>
  <c r="T438" i="2"/>
  <c r="T436" i="2"/>
  <c r="T434" i="2"/>
  <c r="T432" i="2"/>
  <c r="T430" i="2"/>
  <c r="T428" i="2"/>
  <c r="T426" i="2"/>
  <c r="T424" i="2"/>
  <c r="T422" i="2"/>
  <c r="T420" i="2"/>
  <c r="T418" i="2"/>
  <c r="T416" i="2"/>
  <c r="T689" i="2"/>
  <c r="T409" i="2"/>
  <c r="T407" i="2"/>
  <c r="T405" i="2"/>
  <c r="T403" i="2"/>
  <c r="T401" i="2"/>
  <c r="T399" i="2"/>
  <c r="T397" i="2"/>
  <c r="T395" i="2"/>
  <c r="T393" i="2"/>
  <c r="T391" i="2"/>
  <c r="T389" i="2"/>
  <c r="T387" i="2"/>
  <c r="T385" i="2"/>
  <c r="T383" i="2"/>
  <c r="T381" i="2"/>
  <c r="T379" i="2"/>
  <c r="T377" i="2"/>
  <c r="T375" i="2"/>
  <c r="T373" i="2"/>
  <c r="T371" i="2"/>
  <c r="T369" i="2"/>
  <c r="T367" i="2"/>
  <c r="T365" i="2"/>
  <c r="T363" i="2"/>
  <c r="T361" i="2"/>
  <c r="T358" i="2"/>
  <c r="T354" i="2"/>
  <c r="T350" i="2"/>
  <c r="T346" i="2"/>
  <c r="T356" i="2"/>
  <c r="T348" i="2"/>
  <c r="T357" i="2"/>
  <c r="T349" i="2"/>
  <c r="T342" i="2"/>
  <c r="T340" i="2"/>
  <c r="T338" i="2"/>
  <c r="T336" i="2"/>
  <c r="T408" i="2"/>
  <c r="T406" i="2"/>
  <c r="T404" i="2"/>
  <c r="T402" i="2"/>
  <c r="T400" i="2"/>
  <c r="T398" i="2"/>
  <c r="T396" i="2"/>
  <c r="T394" i="2"/>
  <c r="T392" i="2"/>
  <c r="T390" i="2"/>
  <c r="T388" i="2"/>
  <c r="T386" i="2"/>
  <c r="T384" i="2"/>
  <c r="T382" i="2"/>
  <c r="T380" i="2"/>
  <c r="T378" i="2"/>
  <c r="T376" i="2"/>
  <c r="T374" i="2"/>
  <c r="T372" i="2"/>
  <c r="T370" i="2"/>
  <c r="T368" i="2"/>
  <c r="T366" i="2"/>
  <c r="T364" i="2"/>
  <c r="T362" i="2"/>
  <c r="T359" i="2"/>
  <c r="T355" i="2"/>
  <c r="T351" i="2"/>
  <c r="T347" i="2"/>
  <c r="T343" i="2"/>
  <c r="T360" i="2"/>
  <c r="T352" i="2"/>
  <c r="T344" i="2"/>
  <c r="T353" i="2"/>
  <c r="T345" i="2"/>
  <c r="T341" i="2"/>
  <c r="T339" i="2"/>
  <c r="T337" i="2"/>
  <c r="T335" i="2"/>
  <c r="R883" i="2"/>
  <c r="R890" i="2" s="1"/>
  <c r="T318" i="2"/>
  <c r="T314" i="2"/>
  <c r="T310" i="2"/>
  <c r="T298" i="2"/>
  <c r="T296" i="2"/>
  <c r="T294" i="2"/>
  <c r="U54" i="2"/>
  <c r="U52" i="2"/>
  <c r="U50" i="2"/>
  <c r="U56" i="2"/>
  <c r="T319" i="2"/>
  <c r="T299" i="2"/>
  <c r="T297" i="2"/>
  <c r="T295" i="2"/>
  <c r="T293" i="2"/>
  <c r="U55" i="2"/>
  <c r="U53" i="2"/>
  <c r="U51" i="2"/>
  <c r="T23" i="2"/>
  <c r="T57" i="2"/>
  <c r="U57" i="2" s="1"/>
  <c r="U7" i="2"/>
  <c r="T410" i="2"/>
  <c r="W345" i="1"/>
  <c r="X345" i="1"/>
  <c r="W342" i="1"/>
  <c r="X342" i="1"/>
  <c r="W340" i="1"/>
  <c r="X340" i="1"/>
  <c r="W338" i="1"/>
  <c r="X338" i="1"/>
  <c r="W336" i="1"/>
  <c r="X336" i="1"/>
  <c r="W334" i="1"/>
  <c r="W332" i="1"/>
  <c r="X332" i="1"/>
  <c r="X285" i="1"/>
  <c r="W285" i="1"/>
  <c r="X283" i="1"/>
  <c r="W283" i="1"/>
  <c r="X281" i="1"/>
  <c r="W281" i="1"/>
  <c r="X279" i="1"/>
  <c r="W279" i="1"/>
  <c r="X277" i="1"/>
  <c r="W269" i="1"/>
  <c r="X269" i="1"/>
  <c r="W267" i="1"/>
  <c r="X267" i="1"/>
  <c r="W265" i="1"/>
  <c r="X265" i="1"/>
  <c r="W263" i="1"/>
  <c r="X263" i="1"/>
  <c r="W261" i="1"/>
  <c r="X261" i="1"/>
  <c r="W259" i="1"/>
  <c r="X259" i="1"/>
  <c r="W257" i="1"/>
  <c r="X257" i="1"/>
  <c r="W255" i="1"/>
  <c r="X255" i="1"/>
  <c r="W253" i="1"/>
  <c r="X253" i="1"/>
  <c r="W251" i="1"/>
  <c r="X251" i="1"/>
  <c r="W249" i="1"/>
  <c r="X249" i="1"/>
  <c r="W247" i="1"/>
  <c r="X247" i="1"/>
  <c r="W245" i="1"/>
  <c r="X245" i="1"/>
  <c r="W243" i="1"/>
  <c r="X243" i="1"/>
  <c r="W241" i="1"/>
  <c r="X241" i="1"/>
  <c r="W239" i="1"/>
  <c r="X239" i="1"/>
  <c r="W237" i="1"/>
  <c r="X237" i="1"/>
  <c r="W235" i="1"/>
  <c r="X235" i="1"/>
  <c r="V271" i="1"/>
  <c r="W233" i="1"/>
  <c r="W200" i="1"/>
  <c r="X200" i="1"/>
  <c r="W196" i="1"/>
  <c r="X196" i="1"/>
  <c r="W192" i="1"/>
  <c r="X192" i="1"/>
  <c r="W188" i="1"/>
  <c r="X188" i="1"/>
  <c r="W184" i="1"/>
  <c r="X184" i="1"/>
  <c r="W15" i="1"/>
  <c r="X15" i="1"/>
  <c r="X44" i="1" s="1"/>
  <c r="X46" i="1" s="1"/>
  <c r="X65" i="1" s="1"/>
  <c r="V229" i="1"/>
  <c r="X179" i="1"/>
  <c r="W179" i="1"/>
  <c r="V44" i="1"/>
  <c r="V46" i="1" s="1"/>
  <c r="V65" i="1" s="1"/>
  <c r="W343" i="1"/>
  <c r="X343" i="1"/>
  <c r="W341" i="1"/>
  <c r="X341" i="1"/>
  <c r="W339" i="1"/>
  <c r="X339" i="1"/>
  <c r="W337" i="1"/>
  <c r="X337" i="1"/>
  <c r="W335" i="1"/>
  <c r="X335" i="1"/>
  <c r="W333" i="1"/>
  <c r="X333" i="1"/>
  <c r="V346" i="1"/>
  <c r="X320" i="1"/>
  <c r="X284" i="1"/>
  <c r="W284" i="1"/>
  <c r="X282" i="1"/>
  <c r="W282" i="1"/>
  <c r="X280" i="1"/>
  <c r="W280" i="1"/>
  <c r="X278" i="1"/>
  <c r="W278" i="1"/>
  <c r="W270" i="1"/>
  <c r="X270" i="1"/>
  <c r="W268" i="1"/>
  <c r="X268" i="1"/>
  <c r="W266" i="1"/>
  <c r="X266" i="1"/>
  <c r="X264" i="1"/>
  <c r="W262" i="1"/>
  <c r="X262" i="1"/>
  <c r="W260" i="1"/>
  <c r="X260" i="1"/>
  <c r="W258" i="1"/>
  <c r="X258" i="1"/>
  <c r="W256" i="1"/>
  <c r="X256" i="1"/>
  <c r="W254" i="1"/>
  <c r="X254" i="1"/>
  <c r="W252" i="1"/>
  <c r="X252" i="1"/>
  <c r="W250" i="1"/>
  <c r="X250" i="1"/>
  <c r="W248" i="1"/>
  <c r="X248" i="1"/>
  <c r="W246" i="1"/>
  <c r="X246" i="1"/>
  <c r="W244" i="1"/>
  <c r="X244" i="1"/>
  <c r="W242" i="1"/>
  <c r="X242" i="1"/>
  <c r="W240" i="1"/>
  <c r="X240" i="1"/>
  <c r="W238" i="1"/>
  <c r="X238" i="1"/>
  <c r="W236" i="1"/>
  <c r="X236" i="1"/>
  <c r="W234" i="1"/>
  <c r="X234" i="1"/>
  <c r="W228" i="1"/>
  <c r="X228" i="1"/>
  <c r="W198" i="1"/>
  <c r="X198" i="1"/>
  <c r="W194" i="1"/>
  <c r="X194" i="1"/>
  <c r="W190" i="1"/>
  <c r="X190" i="1"/>
  <c r="W186" i="1"/>
  <c r="X186" i="1"/>
  <c r="W180" i="1"/>
  <c r="X180" i="1"/>
  <c r="V915" i="2" l="1"/>
  <c r="V841" i="2"/>
  <c r="U36" i="3"/>
  <c r="S31" i="3"/>
  <c r="S38" i="3" s="1"/>
  <c r="S48" i="3" s="1"/>
  <c r="B10" i="10"/>
  <c r="P448" i="1"/>
  <c r="C7" i="10"/>
  <c r="V950" i="2"/>
  <c r="X363" i="1"/>
  <c r="T43" i="3"/>
  <c r="W363" i="1"/>
  <c r="W357" i="1"/>
  <c r="X133" i="1"/>
  <c r="X177" i="1" s="1"/>
  <c r="V912" i="2"/>
  <c r="V913" i="2" s="1"/>
  <c r="V842" i="2"/>
  <c r="T922" i="2"/>
  <c r="U920" i="2"/>
  <c r="T896" i="2"/>
  <c r="V763" i="2"/>
  <c r="X357" i="1"/>
  <c r="V844" i="2"/>
  <c r="V898" i="2"/>
  <c r="V845" i="2"/>
  <c r="V946" i="2"/>
  <c r="V943" i="2"/>
  <c r="V944" i="2" s="1"/>
  <c r="V895" i="2"/>
  <c r="V896" i="2" s="1"/>
  <c r="U909" i="2"/>
  <c r="U933" i="2"/>
  <c r="U940" i="2" s="1"/>
  <c r="V899" i="2"/>
  <c r="V928" i="2"/>
  <c r="U908" i="2"/>
  <c r="V904" i="2"/>
  <c r="T904" i="2"/>
  <c r="V792" i="2"/>
  <c r="U911" i="2"/>
  <c r="U910" i="2"/>
  <c r="T900" i="2"/>
  <c r="U903" i="2"/>
  <c r="T913" i="2"/>
  <c r="U943" i="2"/>
  <c r="U944" i="2" s="1"/>
  <c r="V365" i="1"/>
  <c r="W44" i="1"/>
  <c r="W46" i="1" s="1"/>
  <c r="W65" i="1" s="1"/>
  <c r="W133" i="1" s="1"/>
  <c r="W177" i="1" s="1"/>
  <c r="V133" i="1"/>
  <c r="V177" i="1" s="1"/>
  <c r="V231" i="1" s="1"/>
  <c r="V275" i="1" s="1"/>
  <c r="T367" i="1"/>
  <c r="T378" i="1" s="1"/>
  <c r="T448" i="1" s="1"/>
  <c r="U907" i="2"/>
  <c r="T31" i="3"/>
  <c r="U276" i="2"/>
  <c r="B13" i="10"/>
  <c r="B16" i="10" s="1"/>
  <c r="B30" i="10" s="1"/>
  <c r="V10" i="2"/>
  <c r="U10" i="2"/>
  <c r="W346" i="1"/>
  <c r="U31" i="3"/>
  <c r="U38" i="3" s="1"/>
  <c r="U48" i="3" s="1"/>
  <c r="G7" i="10" s="1"/>
  <c r="U916" i="2"/>
  <c r="U918" i="2" s="1"/>
  <c r="V767" i="2"/>
  <c r="U767" i="2"/>
  <c r="V937" i="2"/>
  <c r="V843" i="2"/>
  <c r="U900" i="2"/>
  <c r="V964" i="2"/>
  <c r="V962" i="2"/>
  <c r="V960" i="2"/>
  <c r="V958" i="2"/>
  <c r="V956" i="2"/>
  <c r="V954" i="2"/>
  <c r="V952" i="2"/>
  <c r="V939" i="2"/>
  <c r="V935" i="2"/>
  <c r="T36" i="3"/>
  <c r="U965" i="2"/>
  <c r="U948" i="2"/>
  <c r="U930" i="2"/>
  <c r="V963" i="2"/>
  <c r="V961" i="2"/>
  <c r="V959" i="2"/>
  <c r="V957" i="2"/>
  <c r="V955" i="2"/>
  <c r="V953" i="2"/>
  <c r="V951" i="2"/>
  <c r="V947" i="2"/>
  <c r="V938" i="2"/>
  <c r="V936" i="2"/>
  <c r="V934" i="2"/>
  <c r="V929" i="2"/>
  <c r="T965" i="2"/>
  <c r="T948" i="2"/>
  <c r="T940" i="2"/>
  <c r="T930" i="2"/>
  <c r="T684" i="2"/>
  <c r="V921" i="2"/>
  <c r="V922" i="2" s="1"/>
  <c r="T918" i="2"/>
  <c r="U894" i="2"/>
  <c r="U896" i="2" s="1"/>
  <c r="U921" i="2"/>
  <c r="V917" i="2"/>
  <c r="U902" i="2"/>
  <c r="U906" i="2"/>
  <c r="T888" i="2"/>
  <c r="V876" i="2"/>
  <c r="V872" i="2"/>
  <c r="V868" i="2"/>
  <c r="V864" i="2"/>
  <c r="V860" i="2"/>
  <c r="V856" i="2"/>
  <c r="V852" i="2"/>
  <c r="V848" i="2"/>
  <c r="V796" i="2"/>
  <c r="U709" i="2"/>
  <c r="V880" i="2"/>
  <c r="U710" i="2"/>
  <c r="U714" i="2"/>
  <c r="U730" i="2"/>
  <c r="U733" i="2"/>
  <c r="U735" i="2"/>
  <c r="V837" i="2"/>
  <c r="V833" i="2"/>
  <c r="V829" i="2"/>
  <c r="V825" i="2"/>
  <c r="V821" i="2"/>
  <c r="V817" i="2"/>
  <c r="V813" i="2"/>
  <c r="V809" i="2"/>
  <c r="V805" i="2"/>
  <c r="V801" i="2"/>
  <c r="V797" i="2"/>
  <c r="V885" i="2"/>
  <c r="V888" i="2" s="1"/>
  <c r="U840" i="2"/>
  <c r="U832" i="2"/>
  <c r="U824" i="2"/>
  <c r="U816" i="2"/>
  <c r="U886" i="2"/>
  <c r="V786" i="2"/>
  <c r="V782" i="2"/>
  <c r="V778" i="2"/>
  <c r="V774" i="2"/>
  <c r="V775" i="2" s="1"/>
  <c r="V748" i="2"/>
  <c r="V744" i="2"/>
  <c r="V757" i="2"/>
  <c r="V759" i="2"/>
  <c r="V761" i="2"/>
  <c r="V751" i="2"/>
  <c r="V753" i="2"/>
  <c r="V755" i="2"/>
  <c r="U728" i="2"/>
  <c r="U711" i="2"/>
  <c r="U713" i="2"/>
  <c r="U723" i="2"/>
  <c r="U727" i="2"/>
  <c r="U887" i="2"/>
  <c r="U839" i="2"/>
  <c r="U835" i="2"/>
  <c r="U831" i="2"/>
  <c r="U827" i="2"/>
  <c r="U823" i="2"/>
  <c r="U819" i="2"/>
  <c r="U815" i="2"/>
  <c r="U811" i="2"/>
  <c r="U807" i="2"/>
  <c r="U803" i="2"/>
  <c r="U799" i="2"/>
  <c r="U882" i="2"/>
  <c r="U878" i="2"/>
  <c r="U874" i="2"/>
  <c r="U870" i="2"/>
  <c r="U866" i="2"/>
  <c r="U862" i="2"/>
  <c r="U858" i="2"/>
  <c r="U854" i="2"/>
  <c r="U850" i="2"/>
  <c r="U846" i="2"/>
  <c r="U794" i="2"/>
  <c r="T883" i="2"/>
  <c r="U788" i="2"/>
  <c r="U784" i="2"/>
  <c r="U780" i="2"/>
  <c r="U756" i="2"/>
  <c r="U750" i="2"/>
  <c r="U746" i="2"/>
  <c r="U742" i="2"/>
  <c r="U765" i="2"/>
  <c r="U885" i="2"/>
  <c r="V840" i="2"/>
  <c r="V832" i="2"/>
  <c r="V824" i="2"/>
  <c r="V816" i="2"/>
  <c r="U777" i="2"/>
  <c r="U773" i="2"/>
  <c r="U775" i="2" s="1"/>
  <c r="U741" i="2"/>
  <c r="T769" i="2"/>
  <c r="U838" i="2"/>
  <c r="U836" i="2"/>
  <c r="U834" i="2"/>
  <c r="U830" i="2"/>
  <c r="U828" i="2"/>
  <c r="U826" i="2"/>
  <c r="U822" i="2"/>
  <c r="U820" i="2"/>
  <c r="U818" i="2"/>
  <c r="U814" i="2"/>
  <c r="U812" i="2"/>
  <c r="U810" i="2"/>
  <c r="U808" i="2"/>
  <c r="U806" i="2"/>
  <c r="U804" i="2"/>
  <c r="U802" i="2"/>
  <c r="U800" i="2"/>
  <c r="U798" i="2"/>
  <c r="U881" i="2"/>
  <c r="U879" i="2"/>
  <c r="U877" i="2"/>
  <c r="U875" i="2"/>
  <c r="U873" i="2"/>
  <c r="U871" i="2"/>
  <c r="U869" i="2"/>
  <c r="U867" i="2"/>
  <c r="U865" i="2"/>
  <c r="U863" i="2"/>
  <c r="U861" i="2"/>
  <c r="U859" i="2"/>
  <c r="U857" i="2"/>
  <c r="U855" i="2"/>
  <c r="U853" i="2"/>
  <c r="U851" i="2"/>
  <c r="U849" i="2"/>
  <c r="U847" i="2"/>
  <c r="U795" i="2"/>
  <c r="U793" i="2"/>
  <c r="U789" i="2"/>
  <c r="U787" i="2"/>
  <c r="U785" i="2"/>
  <c r="U783" i="2"/>
  <c r="U781" i="2"/>
  <c r="U779" i="2"/>
  <c r="T790" i="2"/>
  <c r="T775" i="2"/>
  <c r="U749" i="2"/>
  <c r="U747" i="2"/>
  <c r="U745" i="2"/>
  <c r="U743" i="2"/>
  <c r="U758" i="2"/>
  <c r="U760" i="2"/>
  <c r="U762" i="2"/>
  <c r="U752" i="2"/>
  <c r="U754" i="2"/>
  <c r="U764" i="2"/>
  <c r="U766" i="2"/>
  <c r="U708" i="2"/>
  <c r="T737" i="2"/>
  <c r="V708" i="2"/>
  <c r="U712" i="2"/>
  <c r="V712" i="2"/>
  <c r="U718" i="2"/>
  <c r="U722" i="2"/>
  <c r="U724" i="2"/>
  <c r="V724" i="2"/>
  <c r="V730" i="2"/>
  <c r="U732" i="2"/>
  <c r="U734" i="2"/>
  <c r="V734" i="2"/>
  <c r="U736" i="2"/>
  <c r="V736" i="2"/>
  <c r="V709" i="2"/>
  <c r="V713" i="2"/>
  <c r="U715" i="2"/>
  <c r="U719" i="2"/>
  <c r="V727" i="2"/>
  <c r="U729" i="2"/>
  <c r="V735" i="2"/>
  <c r="V725" i="2"/>
  <c r="U725" i="2"/>
  <c r="V726" i="2"/>
  <c r="U726" i="2"/>
  <c r="V710" i="2"/>
  <c r="V714" i="2"/>
  <c r="U716" i="2"/>
  <c r="U720" i="2"/>
  <c r="V722" i="2"/>
  <c r="V728" i="2"/>
  <c r="V711" i="2"/>
  <c r="V715" i="2"/>
  <c r="U717" i="2"/>
  <c r="V719" i="2"/>
  <c r="U721" i="2"/>
  <c r="V723" i="2"/>
  <c r="U731" i="2"/>
  <c r="V733" i="2"/>
  <c r="R686" i="2"/>
  <c r="R706" i="2" s="1"/>
  <c r="R739" i="2" s="1"/>
  <c r="R771" i="2" s="1"/>
  <c r="R892" i="2" s="1"/>
  <c r="R926" i="2" s="1"/>
  <c r="R969" i="2" s="1"/>
  <c r="R1008" i="2" s="1"/>
  <c r="V703" i="2"/>
  <c r="U703" i="2"/>
  <c r="V690" i="2"/>
  <c r="U690" i="2"/>
  <c r="V415" i="2"/>
  <c r="U415" i="2"/>
  <c r="V417" i="2"/>
  <c r="U417" i="2"/>
  <c r="V419" i="2"/>
  <c r="U419" i="2"/>
  <c r="V421" i="2"/>
  <c r="U421" i="2"/>
  <c r="V423" i="2"/>
  <c r="U423" i="2"/>
  <c r="V425" i="2"/>
  <c r="U425" i="2"/>
  <c r="V427" i="2"/>
  <c r="U427" i="2"/>
  <c r="V429" i="2"/>
  <c r="U429" i="2"/>
  <c r="V431" i="2"/>
  <c r="U431" i="2"/>
  <c r="V433" i="2"/>
  <c r="U433" i="2"/>
  <c r="V435" i="2"/>
  <c r="U435" i="2"/>
  <c r="V437" i="2"/>
  <c r="U437" i="2"/>
  <c r="V439" i="2"/>
  <c r="U439" i="2"/>
  <c r="V441" i="2"/>
  <c r="U441" i="2"/>
  <c r="V443" i="2"/>
  <c r="U443" i="2"/>
  <c r="V445" i="2"/>
  <c r="U445" i="2"/>
  <c r="V447" i="2"/>
  <c r="U447" i="2"/>
  <c r="V449" i="2"/>
  <c r="U449" i="2"/>
  <c r="V451" i="2"/>
  <c r="U451" i="2"/>
  <c r="V453" i="2"/>
  <c r="U453" i="2"/>
  <c r="V455" i="2"/>
  <c r="U455" i="2"/>
  <c r="V457" i="2"/>
  <c r="U457" i="2"/>
  <c r="V459" i="2"/>
  <c r="U459" i="2"/>
  <c r="V461" i="2"/>
  <c r="U461" i="2"/>
  <c r="V463" i="2"/>
  <c r="U463" i="2"/>
  <c r="V465" i="2"/>
  <c r="U465" i="2"/>
  <c r="V467" i="2"/>
  <c r="U467" i="2"/>
  <c r="V469" i="2"/>
  <c r="U469" i="2"/>
  <c r="V471" i="2"/>
  <c r="U471" i="2"/>
  <c r="V473" i="2"/>
  <c r="U473" i="2"/>
  <c r="V475" i="2"/>
  <c r="U475" i="2"/>
  <c r="V477" i="2"/>
  <c r="U477" i="2"/>
  <c r="V479" i="2"/>
  <c r="U479" i="2"/>
  <c r="V481" i="2"/>
  <c r="U481" i="2"/>
  <c r="V483" i="2"/>
  <c r="U483" i="2"/>
  <c r="V485" i="2"/>
  <c r="U485" i="2"/>
  <c r="V487" i="2"/>
  <c r="U487" i="2"/>
  <c r="V489" i="2"/>
  <c r="U489" i="2"/>
  <c r="V491" i="2"/>
  <c r="U491" i="2"/>
  <c r="V493" i="2"/>
  <c r="U493" i="2"/>
  <c r="V495" i="2"/>
  <c r="U495" i="2"/>
  <c r="V497" i="2"/>
  <c r="U497" i="2"/>
  <c r="V499" i="2"/>
  <c r="U499" i="2"/>
  <c r="V501" i="2"/>
  <c r="U501" i="2"/>
  <c r="V503" i="2"/>
  <c r="U503" i="2"/>
  <c r="V505" i="2"/>
  <c r="U505" i="2"/>
  <c r="V507" i="2"/>
  <c r="U507" i="2"/>
  <c r="V509" i="2"/>
  <c r="U509" i="2"/>
  <c r="V511" i="2"/>
  <c r="U511" i="2"/>
  <c r="V513" i="2"/>
  <c r="U513" i="2"/>
  <c r="V515" i="2"/>
  <c r="U515" i="2"/>
  <c r="V517" i="2"/>
  <c r="U517" i="2"/>
  <c r="V519" i="2"/>
  <c r="U519" i="2"/>
  <c r="V521" i="2"/>
  <c r="U521" i="2"/>
  <c r="V523" i="2"/>
  <c r="U523" i="2"/>
  <c r="V525" i="2"/>
  <c r="U525" i="2"/>
  <c r="V527" i="2"/>
  <c r="U527" i="2"/>
  <c r="V529" i="2"/>
  <c r="U529" i="2"/>
  <c r="V531" i="2"/>
  <c r="U531" i="2"/>
  <c r="V533" i="2"/>
  <c r="U533" i="2"/>
  <c r="V535" i="2"/>
  <c r="U535" i="2"/>
  <c r="V537" i="2"/>
  <c r="U537" i="2"/>
  <c r="V539" i="2"/>
  <c r="U539" i="2"/>
  <c r="V541" i="2"/>
  <c r="U541" i="2"/>
  <c r="V543" i="2"/>
  <c r="U543" i="2"/>
  <c r="V545" i="2"/>
  <c r="U545" i="2"/>
  <c r="V547" i="2"/>
  <c r="U547" i="2"/>
  <c r="V549" i="2"/>
  <c r="U549" i="2"/>
  <c r="V551" i="2"/>
  <c r="U551" i="2"/>
  <c r="V553" i="2"/>
  <c r="U553" i="2"/>
  <c r="V555" i="2"/>
  <c r="U555" i="2"/>
  <c r="V557" i="2"/>
  <c r="U557" i="2"/>
  <c r="V559" i="2"/>
  <c r="U559" i="2"/>
  <c r="V561" i="2"/>
  <c r="U561" i="2"/>
  <c r="V563" i="2"/>
  <c r="U563" i="2"/>
  <c r="V565" i="2"/>
  <c r="U565" i="2"/>
  <c r="V567" i="2"/>
  <c r="U567" i="2"/>
  <c r="V569" i="2"/>
  <c r="U569" i="2"/>
  <c r="V571" i="2"/>
  <c r="U571" i="2"/>
  <c r="V573" i="2"/>
  <c r="U573" i="2"/>
  <c r="V575" i="2"/>
  <c r="U575" i="2"/>
  <c r="V577" i="2"/>
  <c r="U577" i="2"/>
  <c r="V579" i="2"/>
  <c r="U579" i="2"/>
  <c r="V581" i="2"/>
  <c r="U581" i="2"/>
  <c r="V583" i="2"/>
  <c r="U583" i="2"/>
  <c r="V585" i="2"/>
  <c r="U585" i="2"/>
  <c r="V587" i="2"/>
  <c r="U587" i="2"/>
  <c r="V589" i="2"/>
  <c r="U589" i="2"/>
  <c r="V591" i="2"/>
  <c r="U591" i="2"/>
  <c r="V593" i="2"/>
  <c r="U593" i="2"/>
  <c r="V595" i="2"/>
  <c r="U595" i="2"/>
  <c r="V597" i="2"/>
  <c r="U597" i="2"/>
  <c r="V599" i="2"/>
  <c r="U599" i="2"/>
  <c r="V611" i="2"/>
  <c r="U611" i="2"/>
  <c r="V613" i="2"/>
  <c r="U613" i="2"/>
  <c r="V615" i="2"/>
  <c r="U615" i="2"/>
  <c r="V617" i="2"/>
  <c r="U617" i="2"/>
  <c r="V619" i="2"/>
  <c r="U619" i="2"/>
  <c r="V621" i="2"/>
  <c r="U621" i="2"/>
  <c r="V623" i="2"/>
  <c r="U623" i="2"/>
  <c r="V625" i="2"/>
  <c r="U625" i="2"/>
  <c r="V627" i="2"/>
  <c r="U627" i="2"/>
  <c r="V629" i="2"/>
  <c r="U629" i="2"/>
  <c r="V631" i="2"/>
  <c r="U631" i="2"/>
  <c r="V633" i="2"/>
  <c r="U633" i="2"/>
  <c r="V635" i="2"/>
  <c r="U635" i="2"/>
  <c r="V637" i="2"/>
  <c r="U637" i="2"/>
  <c r="V639" i="2"/>
  <c r="U639" i="2"/>
  <c r="V641" i="2"/>
  <c r="U641" i="2"/>
  <c r="V643" i="2"/>
  <c r="U643" i="2"/>
  <c r="V644" i="2"/>
  <c r="U644" i="2"/>
  <c r="V645" i="2"/>
  <c r="U645" i="2"/>
  <c r="V647" i="2"/>
  <c r="U647" i="2"/>
  <c r="V649" i="2"/>
  <c r="U649" i="2"/>
  <c r="V651" i="2"/>
  <c r="U651" i="2"/>
  <c r="V653" i="2"/>
  <c r="U653" i="2"/>
  <c r="V655" i="2"/>
  <c r="U655" i="2"/>
  <c r="V657" i="2"/>
  <c r="U657" i="2"/>
  <c r="V659" i="2"/>
  <c r="U659" i="2"/>
  <c r="V661" i="2"/>
  <c r="U661" i="2"/>
  <c r="V663" i="2"/>
  <c r="U663" i="2"/>
  <c r="V665" i="2"/>
  <c r="U665" i="2"/>
  <c r="V667" i="2"/>
  <c r="U667" i="2"/>
  <c r="V669" i="2"/>
  <c r="U669" i="2"/>
  <c r="V671" i="2"/>
  <c r="U671" i="2"/>
  <c r="V673" i="2"/>
  <c r="U673" i="2"/>
  <c r="V675" i="2"/>
  <c r="U675" i="2"/>
  <c r="V677" i="2"/>
  <c r="U677" i="2"/>
  <c r="V679" i="2"/>
  <c r="U679" i="2"/>
  <c r="V681" i="2"/>
  <c r="U681" i="2"/>
  <c r="V692" i="2"/>
  <c r="U692" i="2"/>
  <c r="V694" i="2"/>
  <c r="U694" i="2"/>
  <c r="V696" i="2"/>
  <c r="U696" i="2"/>
  <c r="V698" i="2"/>
  <c r="U698" i="2"/>
  <c r="V700" i="2"/>
  <c r="U700" i="2"/>
  <c r="V702" i="2"/>
  <c r="U702" i="2"/>
  <c r="U335" i="2"/>
  <c r="V689" i="2"/>
  <c r="U689" i="2"/>
  <c r="T704" i="2"/>
  <c r="V416" i="2"/>
  <c r="U416" i="2"/>
  <c r="V418" i="2"/>
  <c r="U418" i="2"/>
  <c r="V420" i="2"/>
  <c r="U420" i="2"/>
  <c r="V422" i="2"/>
  <c r="U422" i="2"/>
  <c r="V424" i="2"/>
  <c r="U424" i="2"/>
  <c r="V426" i="2"/>
  <c r="U426" i="2"/>
  <c r="V428" i="2"/>
  <c r="U428" i="2"/>
  <c r="V430" i="2"/>
  <c r="U430" i="2"/>
  <c r="V432" i="2"/>
  <c r="U432" i="2"/>
  <c r="V434" i="2"/>
  <c r="U434" i="2"/>
  <c r="V436" i="2"/>
  <c r="U436" i="2"/>
  <c r="V438" i="2"/>
  <c r="U438" i="2"/>
  <c r="V440" i="2"/>
  <c r="U440" i="2"/>
  <c r="V442" i="2"/>
  <c r="U442" i="2"/>
  <c r="V444" i="2"/>
  <c r="U444" i="2"/>
  <c r="V446" i="2"/>
  <c r="U446" i="2"/>
  <c r="V448" i="2"/>
  <c r="U448" i="2"/>
  <c r="V450" i="2"/>
  <c r="U450" i="2"/>
  <c r="V452" i="2"/>
  <c r="U452" i="2"/>
  <c r="V454" i="2"/>
  <c r="U454" i="2"/>
  <c r="V456" i="2"/>
  <c r="U456" i="2"/>
  <c r="V458" i="2"/>
  <c r="U458" i="2"/>
  <c r="V460" i="2"/>
  <c r="U460" i="2"/>
  <c r="V462" i="2"/>
  <c r="U462" i="2"/>
  <c r="V464" i="2"/>
  <c r="U464" i="2"/>
  <c r="V466" i="2"/>
  <c r="U466" i="2"/>
  <c r="V468" i="2"/>
  <c r="U468" i="2"/>
  <c r="V470" i="2"/>
  <c r="U470" i="2"/>
  <c r="V472" i="2"/>
  <c r="U472" i="2"/>
  <c r="V474" i="2"/>
  <c r="U474" i="2"/>
  <c r="V476" i="2"/>
  <c r="U476" i="2"/>
  <c r="V478" i="2"/>
  <c r="U478" i="2"/>
  <c r="V480" i="2"/>
  <c r="U480" i="2"/>
  <c r="V482" i="2"/>
  <c r="U482" i="2"/>
  <c r="V484" i="2"/>
  <c r="U484" i="2"/>
  <c r="V486" i="2"/>
  <c r="U486" i="2"/>
  <c r="V488" i="2"/>
  <c r="U488" i="2"/>
  <c r="V490" i="2"/>
  <c r="U490" i="2"/>
  <c r="V492" i="2"/>
  <c r="U492" i="2"/>
  <c r="V494" i="2"/>
  <c r="U494" i="2"/>
  <c r="V496" i="2"/>
  <c r="U496" i="2"/>
  <c r="V498" i="2"/>
  <c r="U498" i="2"/>
  <c r="V500" i="2"/>
  <c r="U500" i="2"/>
  <c r="V502" i="2"/>
  <c r="U502" i="2"/>
  <c r="V504" i="2"/>
  <c r="U504" i="2"/>
  <c r="V506" i="2"/>
  <c r="U506" i="2"/>
  <c r="V508" i="2"/>
  <c r="U508" i="2"/>
  <c r="V510" i="2"/>
  <c r="U510" i="2"/>
  <c r="V512" i="2"/>
  <c r="U512" i="2"/>
  <c r="V514" i="2"/>
  <c r="U514" i="2"/>
  <c r="V516" i="2"/>
  <c r="U516" i="2"/>
  <c r="V518" i="2"/>
  <c r="U518" i="2"/>
  <c r="V520" i="2"/>
  <c r="U520" i="2"/>
  <c r="V522" i="2"/>
  <c r="U522" i="2"/>
  <c r="V524" i="2"/>
  <c r="U524" i="2"/>
  <c r="V526" i="2"/>
  <c r="U526" i="2"/>
  <c r="V528" i="2"/>
  <c r="U528" i="2"/>
  <c r="V530" i="2"/>
  <c r="U530" i="2"/>
  <c r="V532" i="2"/>
  <c r="U532" i="2"/>
  <c r="V534" i="2"/>
  <c r="U534" i="2"/>
  <c r="V536" i="2"/>
  <c r="U536" i="2"/>
  <c r="V538" i="2"/>
  <c r="U538" i="2"/>
  <c r="V540" i="2"/>
  <c r="U540" i="2"/>
  <c r="V542" i="2"/>
  <c r="U542" i="2"/>
  <c r="V544" i="2"/>
  <c r="U544" i="2"/>
  <c r="V546" i="2"/>
  <c r="U546" i="2"/>
  <c r="V548" i="2"/>
  <c r="U548" i="2"/>
  <c r="V550" i="2"/>
  <c r="U550" i="2"/>
  <c r="V552" i="2"/>
  <c r="U552" i="2"/>
  <c r="V554" i="2"/>
  <c r="U554" i="2"/>
  <c r="V556" i="2"/>
  <c r="U556" i="2"/>
  <c r="V558" i="2"/>
  <c r="U558" i="2"/>
  <c r="V560" i="2"/>
  <c r="U560" i="2"/>
  <c r="V562" i="2"/>
  <c r="U562" i="2"/>
  <c r="V564" i="2"/>
  <c r="U564" i="2"/>
  <c r="V566" i="2"/>
  <c r="U566" i="2"/>
  <c r="V568" i="2"/>
  <c r="U568" i="2"/>
  <c r="V570" i="2"/>
  <c r="U570" i="2"/>
  <c r="V572" i="2"/>
  <c r="U572" i="2"/>
  <c r="V574" i="2"/>
  <c r="U574" i="2"/>
  <c r="V576" i="2"/>
  <c r="U576" i="2"/>
  <c r="V578" i="2"/>
  <c r="U578" i="2"/>
  <c r="V580" i="2"/>
  <c r="U580" i="2"/>
  <c r="V582" i="2"/>
  <c r="U582" i="2"/>
  <c r="V584" i="2"/>
  <c r="U584" i="2"/>
  <c r="V586" i="2"/>
  <c r="U586" i="2"/>
  <c r="V588" i="2"/>
  <c r="U588" i="2"/>
  <c r="V590" i="2"/>
  <c r="U590" i="2"/>
  <c r="V592" i="2"/>
  <c r="U592" i="2"/>
  <c r="V594" i="2"/>
  <c r="U594" i="2"/>
  <c r="V596" i="2"/>
  <c r="U596" i="2"/>
  <c r="V598" i="2"/>
  <c r="U598" i="2"/>
  <c r="V600" i="2"/>
  <c r="U600" i="2"/>
  <c r="V610" i="2"/>
  <c r="U610" i="2"/>
  <c r="V612" i="2"/>
  <c r="U612" i="2"/>
  <c r="V614" i="2"/>
  <c r="U614" i="2"/>
  <c r="V616" i="2"/>
  <c r="U616" i="2"/>
  <c r="V618" i="2"/>
  <c r="U618" i="2"/>
  <c r="V620" i="2"/>
  <c r="U620" i="2"/>
  <c r="V622" i="2"/>
  <c r="U622" i="2"/>
  <c r="V624" i="2"/>
  <c r="U624" i="2"/>
  <c r="V626" i="2"/>
  <c r="U626" i="2"/>
  <c r="V628" i="2"/>
  <c r="U628" i="2"/>
  <c r="V630" i="2"/>
  <c r="U630" i="2"/>
  <c r="V632" i="2"/>
  <c r="U632" i="2"/>
  <c r="V634" i="2"/>
  <c r="U634" i="2"/>
  <c r="V636" i="2"/>
  <c r="U636" i="2"/>
  <c r="V638" i="2"/>
  <c r="U638" i="2"/>
  <c r="V640" i="2"/>
  <c r="U640" i="2"/>
  <c r="V642" i="2"/>
  <c r="U642" i="2"/>
  <c r="V646" i="2"/>
  <c r="U646" i="2"/>
  <c r="V648" i="2"/>
  <c r="U648" i="2"/>
  <c r="V650" i="2"/>
  <c r="U650" i="2"/>
  <c r="V652" i="2"/>
  <c r="U652" i="2"/>
  <c r="V654" i="2"/>
  <c r="U654" i="2"/>
  <c r="V656" i="2"/>
  <c r="U656" i="2"/>
  <c r="V658" i="2"/>
  <c r="U658" i="2"/>
  <c r="V660" i="2"/>
  <c r="U660" i="2"/>
  <c r="V662" i="2"/>
  <c r="U662" i="2"/>
  <c r="V664" i="2"/>
  <c r="U664" i="2"/>
  <c r="V666" i="2"/>
  <c r="U666" i="2"/>
  <c r="V668" i="2"/>
  <c r="U668" i="2"/>
  <c r="V670" i="2"/>
  <c r="U670" i="2"/>
  <c r="V672" i="2"/>
  <c r="U672" i="2"/>
  <c r="V674" i="2"/>
  <c r="U674" i="2"/>
  <c r="V676" i="2"/>
  <c r="U676" i="2"/>
  <c r="V678" i="2"/>
  <c r="U678" i="2"/>
  <c r="V680" i="2"/>
  <c r="U680" i="2"/>
  <c r="V682" i="2"/>
  <c r="U682" i="2"/>
  <c r="V691" i="2"/>
  <c r="U691" i="2"/>
  <c r="V693" i="2"/>
  <c r="U693" i="2"/>
  <c r="V695" i="2"/>
  <c r="U695" i="2"/>
  <c r="V697" i="2"/>
  <c r="U697" i="2"/>
  <c r="V699" i="2"/>
  <c r="U699" i="2"/>
  <c r="V701" i="2"/>
  <c r="U701" i="2"/>
  <c r="V337" i="2"/>
  <c r="U337" i="2"/>
  <c r="V339" i="2"/>
  <c r="U339" i="2"/>
  <c r="V341" i="2"/>
  <c r="U341" i="2"/>
  <c r="V345" i="2"/>
  <c r="U345" i="2"/>
  <c r="V353" i="2"/>
  <c r="U353" i="2"/>
  <c r="V344" i="2"/>
  <c r="U344" i="2"/>
  <c r="V352" i="2"/>
  <c r="U352" i="2"/>
  <c r="V360" i="2"/>
  <c r="U360" i="2"/>
  <c r="V343" i="2"/>
  <c r="U343" i="2"/>
  <c r="V347" i="2"/>
  <c r="U347" i="2"/>
  <c r="V351" i="2"/>
  <c r="U351" i="2"/>
  <c r="V355" i="2"/>
  <c r="U355" i="2"/>
  <c r="V359" i="2"/>
  <c r="U359" i="2"/>
  <c r="V362" i="2"/>
  <c r="U362" i="2"/>
  <c r="V364" i="2"/>
  <c r="U364" i="2"/>
  <c r="V366" i="2"/>
  <c r="U366" i="2"/>
  <c r="V368" i="2"/>
  <c r="U368" i="2"/>
  <c r="V370" i="2"/>
  <c r="U370" i="2"/>
  <c r="V372" i="2"/>
  <c r="U372" i="2"/>
  <c r="V374" i="2"/>
  <c r="U374" i="2"/>
  <c r="V376" i="2"/>
  <c r="U376" i="2"/>
  <c r="V378" i="2"/>
  <c r="U378" i="2"/>
  <c r="V380" i="2"/>
  <c r="U380" i="2"/>
  <c r="V382" i="2"/>
  <c r="U382" i="2"/>
  <c r="V384" i="2"/>
  <c r="U384" i="2"/>
  <c r="V386" i="2"/>
  <c r="U386" i="2"/>
  <c r="V388" i="2"/>
  <c r="U388" i="2"/>
  <c r="V390" i="2"/>
  <c r="U390" i="2"/>
  <c r="V392" i="2"/>
  <c r="U392" i="2"/>
  <c r="V394" i="2"/>
  <c r="U394" i="2"/>
  <c r="V396" i="2"/>
  <c r="U396" i="2"/>
  <c r="V398" i="2"/>
  <c r="U398" i="2"/>
  <c r="V400" i="2"/>
  <c r="U400" i="2"/>
  <c r="V402" i="2"/>
  <c r="U402" i="2"/>
  <c r="V404" i="2"/>
  <c r="U404" i="2"/>
  <c r="V406" i="2"/>
  <c r="U406" i="2"/>
  <c r="V408" i="2"/>
  <c r="U408" i="2"/>
  <c r="V336" i="2"/>
  <c r="U336" i="2"/>
  <c r="V338" i="2"/>
  <c r="U338" i="2"/>
  <c r="V340" i="2"/>
  <c r="U340" i="2"/>
  <c r="V342" i="2"/>
  <c r="U342" i="2"/>
  <c r="V349" i="2"/>
  <c r="U349" i="2"/>
  <c r="V357" i="2"/>
  <c r="U357" i="2"/>
  <c r="V348" i="2"/>
  <c r="U348" i="2"/>
  <c r="V356" i="2"/>
  <c r="U356" i="2"/>
  <c r="V346" i="2"/>
  <c r="U346" i="2"/>
  <c r="V350" i="2"/>
  <c r="U350" i="2"/>
  <c r="V354" i="2"/>
  <c r="U354" i="2"/>
  <c r="V358" i="2"/>
  <c r="U358" i="2"/>
  <c r="V361" i="2"/>
  <c r="U361" i="2"/>
  <c r="V363" i="2"/>
  <c r="U363" i="2"/>
  <c r="V365" i="2"/>
  <c r="U365" i="2"/>
  <c r="V367" i="2"/>
  <c r="U367" i="2"/>
  <c r="V369" i="2"/>
  <c r="U369" i="2"/>
  <c r="V371" i="2"/>
  <c r="U371" i="2"/>
  <c r="V373" i="2"/>
  <c r="U373" i="2"/>
  <c r="V375" i="2"/>
  <c r="U375" i="2"/>
  <c r="V377" i="2"/>
  <c r="U377" i="2"/>
  <c r="V379" i="2"/>
  <c r="U379" i="2"/>
  <c r="V381" i="2"/>
  <c r="U381" i="2"/>
  <c r="V383" i="2"/>
  <c r="U383" i="2"/>
  <c r="V385" i="2"/>
  <c r="U385" i="2"/>
  <c r="V387" i="2"/>
  <c r="U387" i="2"/>
  <c r="V389" i="2"/>
  <c r="U389" i="2"/>
  <c r="V391" i="2"/>
  <c r="U391" i="2"/>
  <c r="V393" i="2"/>
  <c r="U393" i="2"/>
  <c r="V395" i="2"/>
  <c r="U395" i="2"/>
  <c r="V397" i="2"/>
  <c r="U397" i="2"/>
  <c r="V399" i="2"/>
  <c r="U399" i="2"/>
  <c r="V401" i="2"/>
  <c r="U401" i="2"/>
  <c r="V403" i="2"/>
  <c r="U403" i="2"/>
  <c r="V405" i="2"/>
  <c r="U405" i="2"/>
  <c r="V407" i="2"/>
  <c r="U407" i="2"/>
  <c r="V409" i="2"/>
  <c r="U409" i="2"/>
  <c r="V410" i="2"/>
  <c r="U410" i="2"/>
  <c r="V335" i="2"/>
  <c r="T331" i="2"/>
  <c r="T333" i="2" s="1"/>
  <c r="T411" i="2"/>
  <c r="V9" i="2"/>
  <c r="U9" i="2"/>
  <c r="V11" i="2"/>
  <c r="U11" i="2"/>
  <c r="V13" i="2"/>
  <c r="U13" i="2"/>
  <c r="V15" i="2"/>
  <c r="U15" i="2"/>
  <c r="V17" i="2"/>
  <c r="U17" i="2"/>
  <c r="V57" i="2"/>
  <c r="V70" i="2"/>
  <c r="U70" i="2"/>
  <c r="V80" i="2"/>
  <c r="U80" i="2"/>
  <c r="V90" i="2"/>
  <c r="U90" i="2"/>
  <c r="V96" i="2"/>
  <c r="U96" i="2"/>
  <c r="V109" i="2"/>
  <c r="U109" i="2"/>
  <c r="V111" i="2"/>
  <c r="U111" i="2"/>
  <c r="V118" i="2"/>
  <c r="U118" i="2"/>
  <c r="V132" i="2"/>
  <c r="U132" i="2"/>
  <c r="V134" i="2"/>
  <c r="U134" i="2"/>
  <c r="V136" i="2"/>
  <c r="U136" i="2"/>
  <c r="V140" i="2"/>
  <c r="U140" i="2"/>
  <c r="V142" i="2"/>
  <c r="U142" i="2"/>
  <c r="V144" i="2"/>
  <c r="U144" i="2"/>
  <c r="V150" i="2"/>
  <c r="U150" i="2"/>
  <c r="V160" i="2"/>
  <c r="U160" i="2"/>
  <c r="V162" i="2"/>
  <c r="U162" i="2"/>
  <c r="V164" i="2"/>
  <c r="U164" i="2"/>
  <c r="V166" i="2"/>
  <c r="U166" i="2"/>
  <c r="V168" i="2"/>
  <c r="U168" i="2"/>
  <c r="V170" i="2"/>
  <c r="U170" i="2"/>
  <c r="V172" i="2"/>
  <c r="U172" i="2"/>
  <c r="V174" i="2"/>
  <c r="U174" i="2"/>
  <c r="V176" i="2"/>
  <c r="U176" i="2"/>
  <c r="V178" i="2"/>
  <c r="U178" i="2"/>
  <c r="V180" i="2"/>
  <c r="U180" i="2"/>
  <c r="V182" i="2"/>
  <c r="U182" i="2"/>
  <c r="V184" i="2"/>
  <c r="U184" i="2"/>
  <c r="V186" i="2"/>
  <c r="U186" i="2"/>
  <c r="V188" i="2"/>
  <c r="U188" i="2"/>
  <c r="V190" i="2"/>
  <c r="U190" i="2"/>
  <c r="V192" i="2"/>
  <c r="U192" i="2"/>
  <c r="V194" i="2"/>
  <c r="U194" i="2"/>
  <c r="V196" i="2"/>
  <c r="U196" i="2"/>
  <c r="V198" i="2"/>
  <c r="U198" i="2"/>
  <c r="V202" i="2"/>
  <c r="U202" i="2"/>
  <c r="V204" i="2"/>
  <c r="U204" i="2"/>
  <c r="V206" i="2"/>
  <c r="U206" i="2"/>
  <c r="V208" i="2"/>
  <c r="U208" i="2"/>
  <c r="V224" i="2"/>
  <c r="U224" i="2"/>
  <c r="V236" i="2"/>
  <c r="U236" i="2"/>
  <c r="V277" i="2"/>
  <c r="U277" i="2"/>
  <c r="V283" i="2"/>
  <c r="U283" i="2"/>
  <c r="V301" i="2"/>
  <c r="U301" i="2"/>
  <c r="V303" i="2"/>
  <c r="V307" i="2"/>
  <c r="U307" i="2"/>
  <c r="V19" i="2"/>
  <c r="U19" i="2"/>
  <c r="V21" i="2"/>
  <c r="U21" i="2"/>
  <c r="V23" i="2"/>
  <c r="U23" i="2"/>
  <c r="V25" i="2"/>
  <c r="V27" i="2"/>
  <c r="V31" i="2"/>
  <c r="V37" i="2"/>
  <c r="V39" i="2"/>
  <c r="V41" i="2"/>
  <c r="V43" i="2"/>
  <c r="V45" i="2"/>
  <c r="V47" i="2"/>
  <c r="V49" i="2"/>
  <c r="V51" i="2"/>
  <c r="V53" i="2"/>
  <c r="V55" i="2"/>
  <c r="V60" i="2"/>
  <c r="V62" i="2"/>
  <c r="U62" i="2"/>
  <c r="V64" i="2"/>
  <c r="U64" i="2"/>
  <c r="V66" i="2"/>
  <c r="U66" i="2"/>
  <c r="V68" i="2"/>
  <c r="U68" i="2"/>
  <c r="V71" i="2"/>
  <c r="U71" i="2"/>
  <c r="V73" i="2"/>
  <c r="U73" i="2"/>
  <c r="V75" i="2"/>
  <c r="U75" i="2"/>
  <c r="V77" i="2"/>
  <c r="U77" i="2"/>
  <c r="V82" i="2"/>
  <c r="U82" i="2"/>
  <c r="V86" i="2"/>
  <c r="U86" i="2"/>
  <c r="V102" i="2"/>
  <c r="U102" i="2"/>
  <c r="V104" i="2"/>
  <c r="U104" i="2"/>
  <c r="V114" i="2"/>
  <c r="U114" i="2"/>
  <c r="V116" i="2"/>
  <c r="U116" i="2"/>
  <c r="V120" i="2"/>
  <c r="U120" i="2"/>
  <c r="V122" i="2"/>
  <c r="U122" i="2"/>
  <c r="V126" i="2"/>
  <c r="U126" i="2"/>
  <c r="V128" i="2"/>
  <c r="U128" i="2"/>
  <c r="V146" i="2"/>
  <c r="U146" i="2"/>
  <c r="V152" i="2"/>
  <c r="U152" i="2"/>
  <c r="V154" i="2"/>
  <c r="U154" i="2"/>
  <c r="V156" i="2"/>
  <c r="U156" i="2"/>
  <c r="V210" i="2"/>
  <c r="U210" i="2"/>
  <c r="V216" i="2"/>
  <c r="U216" i="2"/>
  <c r="V218" i="2"/>
  <c r="U218" i="2"/>
  <c r="V222" i="2"/>
  <c r="U222" i="2"/>
  <c r="V242" i="2"/>
  <c r="U242" i="2"/>
  <c r="V245" i="2"/>
  <c r="U245" i="2"/>
  <c r="V260" i="2"/>
  <c r="U260" i="2"/>
  <c r="V285" i="2"/>
  <c r="U285" i="2"/>
  <c r="V287" i="2"/>
  <c r="U287" i="2"/>
  <c r="V289" i="2"/>
  <c r="U289" i="2"/>
  <c r="V291" i="2"/>
  <c r="U291" i="2"/>
  <c r="V293" i="2"/>
  <c r="U293" i="2"/>
  <c r="V295" i="2"/>
  <c r="U295" i="2"/>
  <c r="V297" i="2"/>
  <c r="U297" i="2"/>
  <c r="V299" i="2"/>
  <c r="U299" i="2"/>
  <c r="V309" i="2"/>
  <c r="U309" i="2"/>
  <c r="V311" i="2"/>
  <c r="U311" i="2"/>
  <c r="V313" i="2"/>
  <c r="U313" i="2"/>
  <c r="V315" i="2"/>
  <c r="U315" i="2"/>
  <c r="V317" i="2"/>
  <c r="U317" i="2"/>
  <c r="V319" i="2"/>
  <c r="U319" i="2"/>
  <c r="V321" i="2"/>
  <c r="U321" i="2"/>
  <c r="V323" i="2"/>
  <c r="V325" i="2"/>
  <c r="U325" i="2"/>
  <c r="V327" i="2"/>
  <c r="U327" i="2"/>
  <c r="V329" i="2"/>
  <c r="U329" i="2"/>
  <c r="V8" i="2"/>
  <c r="V12" i="2"/>
  <c r="U12" i="2"/>
  <c r="V14" i="2"/>
  <c r="U14" i="2"/>
  <c r="V16" i="2"/>
  <c r="U16" i="2"/>
  <c r="V56" i="2"/>
  <c r="V58" i="2"/>
  <c r="V79" i="2"/>
  <c r="U79" i="2"/>
  <c r="V89" i="2"/>
  <c r="U89" i="2"/>
  <c r="V91" i="2"/>
  <c r="U91" i="2"/>
  <c r="V97" i="2"/>
  <c r="U97" i="2"/>
  <c r="V108" i="2"/>
  <c r="U108" i="2"/>
  <c r="V110" i="2"/>
  <c r="U110" i="2"/>
  <c r="V131" i="2"/>
  <c r="U131" i="2"/>
  <c r="V133" i="2"/>
  <c r="U133" i="2"/>
  <c r="V135" i="2"/>
  <c r="U135" i="2"/>
  <c r="V139" i="2"/>
  <c r="U139" i="2"/>
  <c r="V141" i="2"/>
  <c r="U141" i="2"/>
  <c r="V143" i="2"/>
  <c r="U143" i="2"/>
  <c r="V149" i="2"/>
  <c r="U149" i="2"/>
  <c r="V159" i="2"/>
  <c r="U159" i="2"/>
  <c r="V161" i="2"/>
  <c r="U161" i="2"/>
  <c r="V163" i="2"/>
  <c r="U163" i="2"/>
  <c r="V165" i="2"/>
  <c r="U165" i="2"/>
  <c r="V167" i="2"/>
  <c r="U167" i="2"/>
  <c r="V169" i="2"/>
  <c r="U169" i="2"/>
  <c r="V171" i="2"/>
  <c r="U171" i="2"/>
  <c r="V173" i="2"/>
  <c r="U173" i="2"/>
  <c r="V175" i="2"/>
  <c r="U175" i="2"/>
  <c r="V177" i="2"/>
  <c r="U177" i="2"/>
  <c r="V179" i="2"/>
  <c r="U179" i="2"/>
  <c r="V181" i="2"/>
  <c r="U181" i="2"/>
  <c r="V183" i="2"/>
  <c r="U183" i="2"/>
  <c r="V185" i="2"/>
  <c r="U185" i="2"/>
  <c r="V187" i="2"/>
  <c r="U187" i="2"/>
  <c r="V189" i="2"/>
  <c r="U189" i="2"/>
  <c r="V191" i="2"/>
  <c r="U191" i="2"/>
  <c r="V193" i="2"/>
  <c r="U193" i="2"/>
  <c r="V195" i="2"/>
  <c r="U195" i="2"/>
  <c r="V197" i="2"/>
  <c r="U197" i="2"/>
  <c r="V201" i="2"/>
  <c r="U201" i="2"/>
  <c r="V203" i="2"/>
  <c r="U203" i="2"/>
  <c r="V205" i="2"/>
  <c r="U205" i="2"/>
  <c r="V207" i="2"/>
  <c r="U207" i="2"/>
  <c r="V212" i="2"/>
  <c r="U212" i="2"/>
  <c r="V235" i="2"/>
  <c r="U235" i="2"/>
  <c r="V237" i="2"/>
  <c r="U237" i="2"/>
  <c r="V247" i="2"/>
  <c r="U247" i="2"/>
  <c r="V258" i="2"/>
  <c r="U258" i="2"/>
  <c r="V282" i="2"/>
  <c r="U282" i="2"/>
  <c r="V302" i="2"/>
  <c r="U302" i="2"/>
  <c r="V304" i="2"/>
  <c r="U304" i="2"/>
  <c r="V306" i="2"/>
  <c r="U306" i="2"/>
  <c r="V308" i="2"/>
  <c r="U308" i="2"/>
  <c r="V20" i="2"/>
  <c r="U20" i="2"/>
  <c r="V22" i="2"/>
  <c r="U22" i="2"/>
  <c r="V24" i="2"/>
  <c r="U24" i="2"/>
  <c r="V26" i="2"/>
  <c r="V30" i="2"/>
  <c r="V36" i="2"/>
  <c r="V38" i="2"/>
  <c r="V40" i="2"/>
  <c r="V42" i="2"/>
  <c r="V44" i="2"/>
  <c r="V46" i="2"/>
  <c r="V48" i="2"/>
  <c r="V50" i="2"/>
  <c r="V52" i="2"/>
  <c r="V54" i="2"/>
  <c r="V59" i="2"/>
  <c r="V61" i="2"/>
  <c r="V63" i="2"/>
  <c r="U63" i="2"/>
  <c r="V65" i="2"/>
  <c r="U65" i="2"/>
  <c r="V67" i="2"/>
  <c r="U67" i="2"/>
  <c r="V72" i="2"/>
  <c r="U72" i="2"/>
  <c r="V74" i="2"/>
  <c r="U74" i="2"/>
  <c r="V76" i="2"/>
  <c r="U76" i="2"/>
  <c r="V78" i="2"/>
  <c r="U78" i="2"/>
  <c r="V83" i="2"/>
  <c r="U83" i="2"/>
  <c r="V87" i="2"/>
  <c r="U87" i="2"/>
  <c r="V101" i="2"/>
  <c r="U101" i="2"/>
  <c r="V103" i="2"/>
  <c r="U103" i="2"/>
  <c r="V113" i="2"/>
  <c r="U113" i="2"/>
  <c r="V115" i="2"/>
  <c r="U115" i="2"/>
  <c r="V121" i="2"/>
  <c r="U121" i="2"/>
  <c r="V123" i="2"/>
  <c r="U123" i="2"/>
  <c r="V127" i="2"/>
  <c r="U127" i="2"/>
  <c r="V129" i="2"/>
  <c r="U129" i="2"/>
  <c r="V147" i="2"/>
  <c r="V153" i="2"/>
  <c r="U153" i="2"/>
  <c r="V155" i="2"/>
  <c r="U155" i="2"/>
  <c r="V157" i="2"/>
  <c r="U157" i="2"/>
  <c r="V211" i="2"/>
  <c r="U211" i="2"/>
  <c r="V217" i="2"/>
  <c r="U217" i="2"/>
  <c r="V219" i="2"/>
  <c r="U219" i="2"/>
  <c r="V241" i="2"/>
  <c r="U241" i="2"/>
  <c r="U261" i="2"/>
  <c r="V261" i="2"/>
  <c r="V286" i="2"/>
  <c r="U286" i="2"/>
  <c r="V288" i="2"/>
  <c r="U288" i="2"/>
  <c r="V290" i="2"/>
  <c r="U290" i="2"/>
  <c r="V292" i="2"/>
  <c r="U292" i="2"/>
  <c r="V294" i="2"/>
  <c r="U294" i="2"/>
  <c r="V296" i="2"/>
  <c r="U296" i="2"/>
  <c r="V298" i="2"/>
  <c r="U298" i="2"/>
  <c r="V300" i="2"/>
  <c r="U300" i="2"/>
  <c r="V310" i="2"/>
  <c r="U310" i="2"/>
  <c r="V312" i="2"/>
  <c r="U312" i="2"/>
  <c r="V314" i="2"/>
  <c r="U314" i="2"/>
  <c r="V316" i="2"/>
  <c r="U316" i="2"/>
  <c r="V318" i="2"/>
  <c r="U318" i="2"/>
  <c r="V320" i="2"/>
  <c r="U320" i="2"/>
  <c r="V322" i="2"/>
  <c r="U322" i="2"/>
  <c r="V324" i="2"/>
  <c r="U324" i="2"/>
  <c r="V326" i="2"/>
  <c r="U326" i="2"/>
  <c r="V328" i="2"/>
  <c r="U328" i="2"/>
  <c r="V330" i="2"/>
  <c r="U330" i="2"/>
  <c r="V7" i="2"/>
  <c r="W229" i="1"/>
  <c r="W271" i="1"/>
  <c r="W316" i="1"/>
  <c r="X346" i="1"/>
  <c r="X229" i="1"/>
  <c r="X231" i="1" s="1"/>
  <c r="X271" i="1"/>
  <c r="X316" i="1"/>
  <c r="W231" i="1" l="1"/>
  <c r="V918" i="2"/>
  <c r="E7" i="10"/>
  <c r="W365" i="1"/>
  <c r="V367" i="1"/>
  <c r="V378" i="1" s="1"/>
  <c r="V448" i="1" s="1"/>
  <c r="X365" i="1"/>
  <c r="U904" i="2"/>
  <c r="U922" i="2"/>
  <c r="V900" i="2"/>
  <c r="V948" i="2"/>
  <c r="V930" i="2"/>
  <c r="U913" i="2"/>
  <c r="T924" i="2"/>
  <c r="V411" i="2"/>
  <c r="C10" i="10"/>
  <c r="C13" i="10"/>
  <c r="D10" i="10"/>
  <c r="D7" i="10"/>
  <c r="X275" i="1"/>
  <c r="X318" i="1" s="1"/>
  <c r="W275" i="1"/>
  <c r="W318" i="1" s="1"/>
  <c r="T38" i="3"/>
  <c r="T48" i="3" s="1"/>
  <c r="T413" i="2"/>
  <c r="T686" i="2" s="1"/>
  <c r="T706" i="2" s="1"/>
  <c r="T739" i="2" s="1"/>
  <c r="V940" i="2"/>
  <c r="U967" i="2"/>
  <c r="V965" i="2"/>
  <c r="T967" i="2"/>
  <c r="U888" i="2"/>
  <c r="U684" i="2"/>
  <c r="V790" i="2"/>
  <c r="V684" i="2"/>
  <c r="V883" i="2"/>
  <c r="T890" i="2"/>
  <c r="U411" i="2"/>
  <c r="V769" i="2"/>
  <c r="U883" i="2"/>
  <c r="U769" i="2"/>
  <c r="U790" i="2"/>
  <c r="V737" i="2"/>
  <c r="U737" i="2"/>
  <c r="V704" i="2"/>
  <c r="U704" i="2"/>
  <c r="U331" i="2"/>
  <c r="U333" i="2" s="1"/>
  <c r="V331" i="2"/>
  <c r="V924" i="2" l="1"/>
  <c r="U924" i="2"/>
  <c r="W367" i="1"/>
  <c r="W378" i="1" s="1"/>
  <c r="W448" i="1" s="1"/>
  <c r="X367" i="1"/>
  <c r="X378" i="1" s="1"/>
  <c r="X448" i="1" s="1"/>
  <c r="V967" i="2"/>
  <c r="V890" i="2"/>
  <c r="F7" i="10"/>
  <c r="E10" i="10"/>
  <c r="D13" i="10"/>
  <c r="D16" i="10" s="1"/>
  <c r="D30" i="10" s="1"/>
  <c r="U890" i="2"/>
  <c r="U413" i="2"/>
  <c r="U686" i="2" s="1"/>
  <c r="U706" i="2" s="1"/>
  <c r="U739" i="2" s="1"/>
  <c r="U771" i="2" s="1"/>
  <c r="V333" i="2"/>
  <c r="V413" i="2" s="1"/>
  <c r="V686" i="2" s="1"/>
  <c r="V706" i="2" s="1"/>
  <c r="V739" i="2" s="1"/>
  <c r="G10" i="10" l="1"/>
  <c r="F10" i="10"/>
  <c r="U892" i="2"/>
  <c r="U926" i="2" s="1"/>
  <c r="U969" i="2" s="1"/>
  <c r="U1008" i="2" s="1"/>
  <c r="T771" i="2"/>
  <c r="T892" i="2" s="1"/>
  <c r="T926" i="2" s="1"/>
  <c r="T969" i="2" s="1"/>
  <c r="T1008" i="2" s="1"/>
  <c r="E13" i="10" l="1"/>
  <c r="F13" i="10"/>
  <c r="V771" i="2"/>
  <c r="V892" i="2" s="1"/>
  <c r="V926" i="2" s="1"/>
  <c r="V969" i="2" s="1"/>
  <c r="V1008" i="2" s="1"/>
  <c r="G13" i="10" l="1"/>
  <c r="R26" i="7" l="1"/>
  <c r="R33" i="7" s="1"/>
  <c r="R50" i="7" s="1"/>
  <c r="R76" i="7" s="1"/>
  <c r="R82" i="7" s="1"/>
  <c r="Q26" i="7"/>
  <c r="Q33" i="7" s="1"/>
  <c r="Q50" i="7" s="1"/>
  <c r="Q76" i="7" s="1"/>
  <c r="Q82" i="7" s="1"/>
  <c r="Q91" i="7" s="1"/>
  <c r="S26" i="7"/>
  <c r="S33" i="7" s="1"/>
  <c r="S50" i="7" s="1"/>
  <c r="S76" i="7" s="1"/>
  <c r="S82" i="7" s="1"/>
  <c r="S91" i="7" l="1"/>
  <c r="G12" i="10" s="1"/>
  <c r="G16" i="10" s="1"/>
  <c r="G30" i="10" s="1"/>
  <c r="R91" i="7"/>
  <c r="F12" i="10" s="1"/>
  <c r="F16" i="10" s="1"/>
  <c r="F30" i="10" s="1"/>
  <c r="E12" i="10"/>
  <c r="E16" i="10" s="1"/>
  <c r="E30" i="10" s="1"/>
  <c r="C12" i="10"/>
  <c r="C16" i="10" s="1"/>
  <c r="C30" i="10" s="1"/>
</calcChain>
</file>

<file path=xl/sharedStrings.xml><?xml version="1.0" encoding="utf-8"?>
<sst xmlns="http://schemas.openxmlformats.org/spreadsheetml/2006/main" count="9430" uniqueCount="2939">
  <si>
    <t>CONSEJO NACIONAL DE SEGURIDAD SOCIAL</t>
  </si>
  <si>
    <t>Inventario de Activos Fijos (Equipos de Computación)</t>
  </si>
  <si>
    <t>Fecha Adquisición</t>
  </si>
  <si>
    <t>Depreciación</t>
  </si>
  <si>
    <t>Código</t>
  </si>
  <si>
    <t>Código Nuevo</t>
  </si>
  <si>
    <t>Ubicación</t>
  </si>
  <si>
    <t>Descripción</t>
  </si>
  <si>
    <t>Marca</t>
  </si>
  <si>
    <t>Modelo</t>
  </si>
  <si>
    <t>Serie</t>
  </si>
  <si>
    <t>Proveedor</t>
  </si>
  <si>
    <t>Fecha de Adquisición</t>
  </si>
  <si>
    <t>dd</t>
  </si>
  <si>
    <t>mm</t>
  </si>
  <si>
    <t>aaaa</t>
  </si>
  <si>
    <t>Tipo de Documento</t>
  </si>
  <si>
    <t>No. de Documento</t>
  </si>
  <si>
    <t>Cuenta de Activo</t>
  </si>
  <si>
    <t>Costo de Adquisición</t>
  </si>
  <si>
    <t>Categoría</t>
  </si>
  <si>
    <t>Años Vida Util</t>
  </si>
  <si>
    <t xml:space="preserve">Mensual </t>
  </si>
  <si>
    <t>Valor en Libros</t>
  </si>
  <si>
    <t>Cheque</t>
  </si>
  <si>
    <t>Cantidad de Meses</t>
  </si>
  <si>
    <t>D-010</t>
  </si>
  <si>
    <t>CPU, Pavilion 551w.</t>
  </si>
  <si>
    <t>HP</t>
  </si>
  <si>
    <t>P7519AR</t>
  </si>
  <si>
    <t>MX22890383</t>
  </si>
  <si>
    <t>121-04</t>
  </si>
  <si>
    <t>D-019</t>
  </si>
  <si>
    <t>Printer LX-300+</t>
  </si>
  <si>
    <t>Epson</t>
  </si>
  <si>
    <t>P170A</t>
  </si>
  <si>
    <t>CDUY129672</t>
  </si>
  <si>
    <t>D-039</t>
  </si>
  <si>
    <t>Monitor, Policromatico 14",color negro</t>
  </si>
  <si>
    <t>Dell</t>
  </si>
  <si>
    <t>E551</t>
  </si>
  <si>
    <t>CN-095WVP-46633-36L-4778</t>
  </si>
  <si>
    <t>D-051</t>
  </si>
  <si>
    <t>Monitor Policromatico 14", color negro</t>
  </si>
  <si>
    <t>Compaq</t>
  </si>
  <si>
    <t>V570</t>
  </si>
  <si>
    <t>14213M28HC508</t>
  </si>
  <si>
    <t>Seguridad</t>
  </si>
  <si>
    <t>D-054</t>
  </si>
  <si>
    <t>E-551</t>
  </si>
  <si>
    <t>MY-095WVP-46632-19J-90J-90RX</t>
  </si>
  <si>
    <t>D-057</t>
  </si>
  <si>
    <t>Impresora Inkjet 1700 Color</t>
  </si>
  <si>
    <t>C8108A</t>
  </si>
  <si>
    <t>SG2B4511CR</t>
  </si>
  <si>
    <t>Galaxia Computer, S.A.</t>
  </si>
  <si>
    <t>Factura</t>
  </si>
  <si>
    <t>D-074</t>
  </si>
  <si>
    <t>Laptop</t>
  </si>
  <si>
    <t>Toshiba</t>
  </si>
  <si>
    <t>A70-SP249</t>
  </si>
  <si>
    <t>Y4462217K</t>
  </si>
  <si>
    <t>Oficina Universal, S. A.</t>
  </si>
  <si>
    <t>D-075</t>
  </si>
  <si>
    <t>0344</t>
  </si>
  <si>
    <t>Informática</t>
  </si>
  <si>
    <t>LCD Projector</t>
  </si>
  <si>
    <t>EMP-50</t>
  </si>
  <si>
    <t>CWJ0171015K</t>
  </si>
  <si>
    <t>D-084</t>
  </si>
  <si>
    <t>Monitor Policromatico 17", color negro.</t>
  </si>
  <si>
    <t>E773s</t>
  </si>
  <si>
    <t>MY-OY1352-47603-4AJ-FGWA</t>
  </si>
  <si>
    <t>D-097</t>
  </si>
  <si>
    <t>0331</t>
  </si>
  <si>
    <t>informática (Amauri González)</t>
  </si>
  <si>
    <t>Monitor Policromatico 17", color negro</t>
  </si>
  <si>
    <t>View Sonic</t>
  </si>
  <si>
    <t>VS10057</t>
  </si>
  <si>
    <t>P21043706849</t>
  </si>
  <si>
    <t>D-098</t>
  </si>
  <si>
    <t>0202</t>
  </si>
  <si>
    <t>CPU, optiplex</t>
  </si>
  <si>
    <t>DELL</t>
  </si>
  <si>
    <t>GX 270</t>
  </si>
  <si>
    <t>GJQ4431</t>
  </si>
  <si>
    <t>D-109</t>
  </si>
  <si>
    <t>Impresora Officejet</t>
  </si>
  <si>
    <t>CN4ACC514Q</t>
  </si>
  <si>
    <t>D-100</t>
  </si>
  <si>
    <t>Impresora</t>
  </si>
  <si>
    <t>MY3401M2Q7</t>
  </si>
  <si>
    <t>D-103</t>
  </si>
  <si>
    <t>CPU</t>
  </si>
  <si>
    <t>APC</t>
  </si>
  <si>
    <t>JB0310013092</t>
  </si>
  <si>
    <t>D-110</t>
  </si>
  <si>
    <t>OMEGA</t>
  </si>
  <si>
    <t>DP500N1</t>
  </si>
  <si>
    <t>0210000004033ANN</t>
  </si>
  <si>
    <t>D-111</t>
  </si>
  <si>
    <t>0412</t>
  </si>
  <si>
    <t>Salón B 7mo. Piso</t>
  </si>
  <si>
    <t>Proyector</t>
  </si>
  <si>
    <t>INFOCUS</t>
  </si>
  <si>
    <t>LP500</t>
  </si>
  <si>
    <t>AALN31190145</t>
  </si>
  <si>
    <t>Galaxia Computer, S. A.</t>
  </si>
  <si>
    <t>D-130</t>
  </si>
  <si>
    <t>0141</t>
  </si>
  <si>
    <t>Seguridad (Sótano)</t>
  </si>
  <si>
    <t>CPU Pavilon, color gris</t>
  </si>
  <si>
    <t>551W</t>
  </si>
  <si>
    <t>MX21992202</t>
  </si>
  <si>
    <t>D-164</t>
  </si>
  <si>
    <t>0343</t>
  </si>
  <si>
    <t>Informática  (Fuera Servicio)</t>
  </si>
  <si>
    <t>EVO</t>
  </si>
  <si>
    <t>V237KRBXA559</t>
  </si>
  <si>
    <t>D-167</t>
  </si>
  <si>
    <t>Escaner</t>
  </si>
  <si>
    <t>GRLYB-0306</t>
  </si>
  <si>
    <t>CN33XS1OHJ</t>
  </si>
  <si>
    <t>D-179</t>
  </si>
  <si>
    <t>02472A</t>
  </si>
  <si>
    <t>CNBDC53710</t>
  </si>
  <si>
    <t>Dpto. Técnología</t>
  </si>
  <si>
    <t>D-180</t>
  </si>
  <si>
    <t>Monitor negro 14", color negro</t>
  </si>
  <si>
    <t>E551c</t>
  </si>
  <si>
    <t>CN-07G076-64180-3AA-0013T</t>
  </si>
  <si>
    <t>D-191</t>
  </si>
  <si>
    <t>Central Telefonica</t>
  </si>
  <si>
    <t>Panasonic</t>
  </si>
  <si>
    <t>KX-TA616BX</t>
  </si>
  <si>
    <t>D-193</t>
  </si>
  <si>
    <t>Monitor pantalla plana de 17"</t>
  </si>
  <si>
    <t>E177FP</t>
  </si>
  <si>
    <t>CN-OWH318-72872-688-04HT</t>
  </si>
  <si>
    <t>CECOMSA</t>
  </si>
  <si>
    <t>D-194</t>
  </si>
  <si>
    <t>Impresora multifuncional</t>
  </si>
  <si>
    <t>F380-SDGOB-0601</t>
  </si>
  <si>
    <t>CN-63NB50P2</t>
  </si>
  <si>
    <t>D-195</t>
  </si>
  <si>
    <t>CN-OWH318-72872-67Q-04MV</t>
  </si>
  <si>
    <t>D-196</t>
  </si>
  <si>
    <t>D-197</t>
  </si>
  <si>
    <t>D-198</t>
  </si>
  <si>
    <t>D-199</t>
  </si>
  <si>
    <t>CN-OWH318-72872-67P-OK5S</t>
  </si>
  <si>
    <t>D-201</t>
  </si>
  <si>
    <t>0017</t>
  </si>
  <si>
    <t>Asist. Gcia. Gral. (Ana M)</t>
  </si>
  <si>
    <t xml:space="preserve">PC Optiplex  </t>
  </si>
  <si>
    <t>GX520</t>
  </si>
  <si>
    <t>FR72DB1</t>
  </si>
  <si>
    <t>D-203</t>
  </si>
  <si>
    <t>0159</t>
  </si>
  <si>
    <t>DVD</t>
  </si>
  <si>
    <t>Panasonc</t>
  </si>
  <si>
    <t>DMR-EH50</t>
  </si>
  <si>
    <t>DQ5FF002850</t>
  </si>
  <si>
    <t>D-204</t>
  </si>
  <si>
    <t>0263</t>
  </si>
  <si>
    <t>Salón 6to. Piso</t>
  </si>
  <si>
    <t>Infocus LP-640</t>
  </si>
  <si>
    <t>Gen200</t>
  </si>
  <si>
    <t>AJQL54400430</t>
  </si>
  <si>
    <t>D-205</t>
  </si>
  <si>
    <t>Común 6to. Piso</t>
  </si>
  <si>
    <t>UPS</t>
  </si>
  <si>
    <t>SMART-2200</t>
  </si>
  <si>
    <t>JSO505005557</t>
  </si>
  <si>
    <t>S/N</t>
  </si>
  <si>
    <t>Salón A 7mo. Piso</t>
  </si>
  <si>
    <t>Lap Top</t>
  </si>
  <si>
    <t>IBM</t>
  </si>
  <si>
    <t>THINKPAD</t>
  </si>
  <si>
    <t>L393N66</t>
  </si>
  <si>
    <t>Sub-total Año 2006</t>
  </si>
  <si>
    <t>Total Acumulado 2006</t>
  </si>
  <si>
    <t>D-209</t>
  </si>
  <si>
    <t>Scanner</t>
  </si>
  <si>
    <t>CN69VSR03M</t>
  </si>
  <si>
    <t>D-211</t>
  </si>
  <si>
    <t>0019</t>
  </si>
  <si>
    <t>Dpto. Legal (Leymi Lora)</t>
  </si>
  <si>
    <t>CPU Optiplex</t>
  </si>
  <si>
    <t>745D</t>
  </si>
  <si>
    <t>G7YY5C1</t>
  </si>
  <si>
    <t>D-212</t>
  </si>
  <si>
    <t>0335</t>
  </si>
  <si>
    <t>RR.HH. (María Cristina)</t>
  </si>
  <si>
    <t>18YY5C1</t>
  </si>
  <si>
    <t>D-213</t>
  </si>
  <si>
    <t>0007</t>
  </si>
  <si>
    <t>Dpto. Legal (Yesica Soto)</t>
  </si>
  <si>
    <t>GDYY5C1</t>
  </si>
  <si>
    <t>D-214</t>
  </si>
  <si>
    <t>0277</t>
  </si>
  <si>
    <t>Monitor 17 pulgadas</t>
  </si>
  <si>
    <t>E176FP</t>
  </si>
  <si>
    <t>6418063L30AL</t>
  </si>
  <si>
    <t>D-215</t>
  </si>
  <si>
    <t>S/C</t>
  </si>
  <si>
    <t>CC63963E23UT</t>
  </si>
  <si>
    <t>D-216</t>
  </si>
  <si>
    <t>CMR-Stgo</t>
  </si>
  <si>
    <t>D-217</t>
  </si>
  <si>
    <t>Impresora deskjet</t>
  </si>
  <si>
    <t>D2360</t>
  </si>
  <si>
    <t>Oficina Universal, S.A.</t>
  </si>
  <si>
    <t>D-218</t>
  </si>
  <si>
    <t>0329</t>
  </si>
  <si>
    <t>Recepción 7mo. Piso</t>
  </si>
  <si>
    <t>320D</t>
  </si>
  <si>
    <t>011X6PC1</t>
  </si>
  <si>
    <t>D-219</t>
  </si>
  <si>
    <t>0018</t>
  </si>
  <si>
    <t>Asist. Gcia. General</t>
  </si>
  <si>
    <t>0CN0WH318728727122H1i</t>
  </si>
  <si>
    <t>D-220</t>
  </si>
  <si>
    <t>Salón A, 7mo. Piso</t>
  </si>
  <si>
    <t>Base de instalación de techo p/proyector</t>
  </si>
  <si>
    <t>Abastos y Servicios, C. Por A</t>
  </si>
  <si>
    <t>Ord. Com</t>
  </si>
  <si>
    <t>D-221</t>
  </si>
  <si>
    <t>Pantalla eléctrica digital de 100"</t>
  </si>
  <si>
    <t>D-222</t>
  </si>
  <si>
    <t>0166</t>
  </si>
  <si>
    <t>Proyector 3000</t>
  </si>
  <si>
    <t>Sony</t>
  </si>
  <si>
    <t>VPL-CX86</t>
  </si>
  <si>
    <t>D-223</t>
  </si>
  <si>
    <t>Draper pantalla manual 60 x 80 diagonal</t>
  </si>
  <si>
    <t>D-224</t>
  </si>
  <si>
    <t>Salón de Reuniones 6to.P</t>
  </si>
  <si>
    <t>Base para proyector</t>
  </si>
  <si>
    <t>Sub-total Año 2007</t>
  </si>
  <si>
    <t>Total Acumulado 2007</t>
  </si>
  <si>
    <t>0212</t>
  </si>
  <si>
    <t>Administrativo (Leonarda)</t>
  </si>
  <si>
    <t>Monitor L1706</t>
  </si>
  <si>
    <t>L1706</t>
  </si>
  <si>
    <t>CNC733P4HX</t>
  </si>
  <si>
    <t>Unitec Dominicana</t>
  </si>
  <si>
    <t>0241</t>
  </si>
  <si>
    <t xml:space="preserve">Informática </t>
  </si>
  <si>
    <t>CNC733P5YN</t>
  </si>
  <si>
    <t>0119</t>
  </si>
  <si>
    <t>Rel. Púb. (Yudelca)</t>
  </si>
  <si>
    <t>CNC733P7P9</t>
  </si>
  <si>
    <t>0332</t>
  </si>
  <si>
    <t>CNC733P7T9</t>
  </si>
  <si>
    <t>0014</t>
  </si>
  <si>
    <t>CNC733P7SZ</t>
  </si>
  <si>
    <t>0114</t>
  </si>
  <si>
    <t>Of. Libre Acceso (Jose M.)</t>
  </si>
  <si>
    <t>CNC733P7PL</t>
  </si>
  <si>
    <t>0001</t>
  </si>
  <si>
    <t>Of. Adm. 7mo. Piso (Miosotis Cabral)</t>
  </si>
  <si>
    <t>CNC733P7LS</t>
  </si>
  <si>
    <t>0101</t>
  </si>
  <si>
    <t>Rel. Púb. (Maty Vasquez)</t>
  </si>
  <si>
    <t>CNC733P7LY</t>
  </si>
  <si>
    <t>0300</t>
  </si>
  <si>
    <t>RR.HH. (Xiomara C.)</t>
  </si>
  <si>
    <t>CNC733P7LB</t>
  </si>
  <si>
    <t>CNC733P7P7</t>
  </si>
  <si>
    <t>0222</t>
  </si>
  <si>
    <t>RR.HH. (Claribel)</t>
  </si>
  <si>
    <t>CNC733P7GN</t>
  </si>
  <si>
    <t>0216</t>
  </si>
  <si>
    <t>Compras (Lisber Ogando)</t>
  </si>
  <si>
    <t>CNC733P7PG</t>
  </si>
  <si>
    <t>Planificación (Iris Ramirez)</t>
  </si>
  <si>
    <t>CNC733P7M2</t>
  </si>
  <si>
    <t>0255</t>
  </si>
  <si>
    <t>Protocolo (Xiomara P.)</t>
  </si>
  <si>
    <t>CNC733P7LV</t>
  </si>
  <si>
    <t>0262</t>
  </si>
  <si>
    <t>Contabilidad (Maireni C.)</t>
  </si>
  <si>
    <t>CNC733P7H4</t>
  </si>
  <si>
    <t>0239</t>
  </si>
  <si>
    <t>Area Técnica (Ana Isabel)</t>
  </si>
  <si>
    <t>CNC733P7LM</t>
  </si>
  <si>
    <t>0231</t>
  </si>
  <si>
    <t>Gcia. Previsiones (Juan Brito)</t>
  </si>
  <si>
    <t>CNC733P4QN</t>
  </si>
  <si>
    <t>0022</t>
  </si>
  <si>
    <t>Auditoría (Cristian Baquero)</t>
  </si>
  <si>
    <t>CNC733P4M2</t>
  </si>
  <si>
    <t>0259</t>
  </si>
  <si>
    <t>Compras (Luis Marte)</t>
  </si>
  <si>
    <t>CNC733P52F</t>
  </si>
  <si>
    <t>0253</t>
  </si>
  <si>
    <t>Contabilidad (Miguel A.)</t>
  </si>
  <si>
    <t>CNC733P7GJ</t>
  </si>
  <si>
    <t>0003</t>
  </si>
  <si>
    <t>Of. Adm. 7mo. Piso (Milagros Hdez.)</t>
  </si>
  <si>
    <t>CNC733P7M8</t>
  </si>
  <si>
    <t>0227</t>
  </si>
  <si>
    <t>Planificación (Alexandra M)</t>
  </si>
  <si>
    <t>CNC733P6FF</t>
  </si>
  <si>
    <t>0252</t>
  </si>
  <si>
    <t>Contabilidad (Alexis R.)</t>
  </si>
  <si>
    <t>CNC733P6FD</t>
  </si>
  <si>
    <t>0118</t>
  </si>
  <si>
    <t>Rel. Púb. (Arismalia)</t>
  </si>
  <si>
    <t>CNC733P5SB</t>
  </si>
  <si>
    <t>0020</t>
  </si>
  <si>
    <t>CNC733P7LH</t>
  </si>
  <si>
    <t>6710B</t>
  </si>
  <si>
    <t>CNU7351H3L</t>
  </si>
  <si>
    <t>530 T2400</t>
  </si>
  <si>
    <t>CND7452KTG</t>
  </si>
  <si>
    <t>0211</t>
  </si>
  <si>
    <t>CPU HP DC5700</t>
  </si>
  <si>
    <t>DC5700</t>
  </si>
  <si>
    <t>MXJ75106RX</t>
  </si>
  <si>
    <t>0232</t>
  </si>
  <si>
    <t>Gte. Previsiones (Juan Brito)</t>
  </si>
  <si>
    <t>MXJ75007SW</t>
  </si>
  <si>
    <t>0234</t>
  </si>
  <si>
    <t>Gte.Salud (Juana González)</t>
  </si>
  <si>
    <t>MXJ75007SF</t>
  </si>
  <si>
    <t>0333</t>
  </si>
  <si>
    <t>Informática (Enrique Cabrera)</t>
  </si>
  <si>
    <t>MXJ75007MJ</t>
  </si>
  <si>
    <t>0113</t>
  </si>
  <si>
    <t>MXJ8070C6L</t>
  </si>
  <si>
    <t>0002</t>
  </si>
  <si>
    <t>Of. Adm. 7mo. (Miosotis C.)</t>
  </si>
  <si>
    <t>MXJ8070C6N</t>
  </si>
  <si>
    <t>0004</t>
  </si>
  <si>
    <t>Of. Adm.7mo.(Milagros Hdez)</t>
  </si>
  <si>
    <t>MXJ75007SN</t>
  </si>
  <si>
    <t>MXJ8070C6K</t>
  </si>
  <si>
    <t>0223</t>
  </si>
  <si>
    <t>RR.HH. (Claribel Reynoso)</t>
  </si>
  <si>
    <t>MXJ8070C6M</t>
  </si>
  <si>
    <t>0281</t>
  </si>
  <si>
    <t>RR.HH.( Xiomara Caminero)</t>
  </si>
  <si>
    <t>MXJ75106T9</t>
  </si>
  <si>
    <t>0102</t>
  </si>
  <si>
    <t>Rel. Pub. (Matty Vázquez)</t>
  </si>
  <si>
    <t>MXJ75007KN</t>
  </si>
  <si>
    <t>0229</t>
  </si>
  <si>
    <t>Serv. Grales. (Flavio Matos)</t>
  </si>
  <si>
    <t>MXJ8070C6J</t>
  </si>
  <si>
    <t>Comisiones</t>
  </si>
  <si>
    <t>CDP</t>
  </si>
  <si>
    <t>B-UPR 505</t>
  </si>
  <si>
    <t>MXJ8040KBC</t>
  </si>
  <si>
    <t>0330</t>
  </si>
  <si>
    <t>Informática (Amaury Gonz.)</t>
  </si>
  <si>
    <t>MXJ8040KBY</t>
  </si>
  <si>
    <t>0248</t>
  </si>
  <si>
    <t>Area Técnica (Bárbara )</t>
  </si>
  <si>
    <t>MXJ805029F</t>
  </si>
  <si>
    <t>0215</t>
  </si>
  <si>
    <t>MXJ8040KBG</t>
  </si>
  <si>
    <t>0254</t>
  </si>
  <si>
    <t>MXJ8040KBD</t>
  </si>
  <si>
    <t>0025</t>
  </si>
  <si>
    <t>MXJ8040KBW</t>
  </si>
  <si>
    <t>0240</t>
  </si>
  <si>
    <t>MXJ8040KBV</t>
  </si>
  <si>
    <t>0221</t>
  </si>
  <si>
    <t>Administrativo (Jennifer M.)</t>
  </si>
  <si>
    <t>MXJ8040KC3</t>
  </si>
  <si>
    <t xml:space="preserve">Monitor </t>
  </si>
  <si>
    <t>L1710</t>
  </si>
  <si>
    <t>CND7502HJX</t>
  </si>
  <si>
    <t>0214</t>
  </si>
  <si>
    <t>Suministros (Andy Martinez)</t>
  </si>
  <si>
    <t>CND7502J14</t>
  </si>
  <si>
    <t>0103</t>
  </si>
  <si>
    <t>Recepción 1er. Piso (Yesenia)</t>
  </si>
  <si>
    <t>CND7502KKJ</t>
  </si>
  <si>
    <t>0334</t>
  </si>
  <si>
    <t>CND7502J1D</t>
  </si>
  <si>
    <t>0230</t>
  </si>
  <si>
    <t>CND7502HJZ</t>
  </si>
  <si>
    <t>0247</t>
  </si>
  <si>
    <t>CND7502J19</t>
  </si>
  <si>
    <t xml:space="preserve"> </t>
  </si>
  <si>
    <t>0305</t>
  </si>
  <si>
    <t>Informática (Area Server)</t>
  </si>
  <si>
    <t>Swich Fiber Channel</t>
  </si>
  <si>
    <t>Back Mount Brocade</t>
  </si>
  <si>
    <t>220E</t>
  </si>
  <si>
    <t>RD060182293</t>
  </si>
  <si>
    <t>Multicomputos</t>
  </si>
  <si>
    <t>0011</t>
  </si>
  <si>
    <t>Presidencia Consejo</t>
  </si>
  <si>
    <t>C8970A</t>
  </si>
  <si>
    <t>Impresora  IMP/SCA/FAX/COP</t>
  </si>
  <si>
    <t>J5780</t>
  </si>
  <si>
    <t>SCN865CV332</t>
  </si>
  <si>
    <t>0561</t>
  </si>
  <si>
    <t xml:space="preserve">Scanner </t>
  </si>
  <si>
    <t>Fujitsu</t>
  </si>
  <si>
    <t>FI-5220C</t>
  </si>
  <si>
    <t>021032</t>
  </si>
  <si>
    <t>Centro de Soporte Tecn. Y Comunic.</t>
  </si>
  <si>
    <t>P010010011500169137</t>
  </si>
  <si>
    <t>Recepción 6to.Piso (Elizabeth)</t>
  </si>
  <si>
    <t>020954</t>
  </si>
  <si>
    <t>0302</t>
  </si>
  <si>
    <t>UPS APC</t>
  </si>
  <si>
    <t>Symmetra</t>
  </si>
  <si>
    <t>LX16KVA</t>
  </si>
  <si>
    <t>QD0708150918</t>
  </si>
  <si>
    <t>Advantics</t>
  </si>
  <si>
    <t>Caja de Disco Storage</t>
  </si>
  <si>
    <t>0304</t>
  </si>
  <si>
    <t>Cisco Catalyst 2960-24TC-Swich-24 ports-EN, Fast EN, Gigabit EN-10 base-T, 100 Base-TX</t>
  </si>
  <si>
    <t>F0C1252W31A</t>
  </si>
  <si>
    <t>O/C</t>
  </si>
  <si>
    <t>KVM 8 Puertos</t>
  </si>
  <si>
    <t>Swich 5 puertos</t>
  </si>
  <si>
    <t>zonet</t>
  </si>
  <si>
    <t>zfs30005p</t>
  </si>
  <si>
    <t>Abastos y Servicios</t>
  </si>
  <si>
    <t>E/D</t>
  </si>
  <si>
    <t>2008DIC314</t>
  </si>
  <si>
    <t>Sub-total Año 2008</t>
  </si>
  <si>
    <t>Total Acumulado 2008</t>
  </si>
  <si>
    <t xml:space="preserve">Epson </t>
  </si>
  <si>
    <t>Powerlite S-6 de 220LM</t>
  </si>
  <si>
    <t>L5TF962615L</t>
  </si>
  <si>
    <t>Linksys Ranger Expander WRE54G</t>
  </si>
  <si>
    <t>Compu-Office Dominicana C por A</t>
  </si>
  <si>
    <t>Area técnica (Bernardo Acevedo)</t>
  </si>
  <si>
    <t xml:space="preserve">CPU (NE) Optiplex 760D  C2D/2.93GHZ/4GB/250GB/DVO/XP   (Black)   </t>
  </si>
  <si>
    <t>DELL OPTIPLEX</t>
  </si>
  <si>
    <t>760D</t>
  </si>
  <si>
    <t>F1141L1</t>
  </si>
  <si>
    <t>Informática (Juan Manuel)</t>
  </si>
  <si>
    <t>4Z041L1</t>
  </si>
  <si>
    <t xml:space="preserve">Informática  </t>
  </si>
  <si>
    <t>42141L1</t>
  </si>
  <si>
    <t xml:space="preserve">Planificación (Beliza) </t>
  </si>
  <si>
    <t>1Z041L1</t>
  </si>
  <si>
    <t xml:space="preserve">Planificación (Gilma) </t>
  </si>
  <si>
    <t>BY041L1</t>
  </si>
  <si>
    <t xml:space="preserve">S/C                                                                                                                                                                                 </t>
  </si>
  <si>
    <t>Monitor Flat 19"  Mod. E190S  black</t>
  </si>
  <si>
    <t>Flat Dell Ultra Sharp</t>
  </si>
  <si>
    <t>1908FPT</t>
  </si>
  <si>
    <t>CN0H329N7287298J27EL</t>
  </si>
  <si>
    <t>CN0H329N7287298J287L</t>
  </si>
  <si>
    <t>CN0H329N7287298M0PGL</t>
  </si>
  <si>
    <t>CN0H329N7287298J206L</t>
  </si>
  <si>
    <t>CN0H329N7287298J28CL</t>
  </si>
  <si>
    <t>CMR-La Vega</t>
  </si>
  <si>
    <t>Copiadora  Mod.AL2040  20CPM</t>
  </si>
  <si>
    <t>Sharp</t>
  </si>
  <si>
    <t>AL-2040</t>
  </si>
  <si>
    <t>De león y Asociados</t>
  </si>
  <si>
    <t>0079</t>
  </si>
  <si>
    <t>CMR-S.P.M.</t>
  </si>
  <si>
    <t>Impresora Multifuncional WorkCentre 5645</t>
  </si>
  <si>
    <t>Work Centre</t>
  </si>
  <si>
    <t>5645 Xerox</t>
  </si>
  <si>
    <t>WTD068445E</t>
  </si>
  <si>
    <t>Productive Business Solutions Dom.S.A</t>
  </si>
  <si>
    <t>0244</t>
  </si>
  <si>
    <t xml:space="preserve">Area técnica   </t>
  </si>
  <si>
    <t>CPU  Mod. HP  DC5800 SFF  C2D/3.0 2GB  250GB  DVDR WVB-XPP, con su monitor HP L1710  17IN LCD MON US SBY</t>
  </si>
  <si>
    <t>HP Compaq</t>
  </si>
  <si>
    <t>HPDC5800SFF</t>
  </si>
  <si>
    <t>2UA91704JL</t>
  </si>
  <si>
    <t>12446 y 12727</t>
  </si>
  <si>
    <t>0256</t>
  </si>
  <si>
    <t>Presupuesto-Ana P.</t>
  </si>
  <si>
    <t>2UA917047J</t>
  </si>
  <si>
    <t>12447 y 12727</t>
  </si>
  <si>
    <t>0238</t>
  </si>
  <si>
    <t>2UA917047D</t>
  </si>
  <si>
    <t>12448 y 12727</t>
  </si>
  <si>
    <t>Informática (Server)</t>
  </si>
  <si>
    <t>2UA9170482</t>
  </si>
  <si>
    <t>12449 y 12727</t>
  </si>
  <si>
    <t>0246</t>
  </si>
  <si>
    <t>Planificación (Aranaldi)</t>
  </si>
  <si>
    <t>2UA9170471</t>
  </si>
  <si>
    <t>12450 y 12727</t>
  </si>
  <si>
    <t>0217</t>
  </si>
  <si>
    <t>R.R. H.H. (Lucitania)</t>
  </si>
  <si>
    <t>2UA917047T</t>
  </si>
  <si>
    <t>12451 y 12727</t>
  </si>
  <si>
    <t>0026</t>
  </si>
  <si>
    <t>Gcia. Financiera (Juan C.)</t>
  </si>
  <si>
    <t>2UA917047K</t>
  </si>
  <si>
    <t>12452 y 12727</t>
  </si>
  <si>
    <t>CMN-0 (Yocasta Fdez)</t>
  </si>
  <si>
    <t>2UA9170470</t>
  </si>
  <si>
    <t>12453 y 12727</t>
  </si>
  <si>
    <t xml:space="preserve">CMN-0  </t>
  </si>
  <si>
    <t>2UA917047R</t>
  </si>
  <si>
    <t>12454 y 12727</t>
  </si>
  <si>
    <t>CMN-0</t>
  </si>
  <si>
    <t>2UA9170477</t>
  </si>
  <si>
    <t>12455 y 12727</t>
  </si>
  <si>
    <t>3CQC838388B</t>
  </si>
  <si>
    <t>3CQ83838CC</t>
  </si>
  <si>
    <t>3CQ838389P</t>
  </si>
  <si>
    <t>3CQ8383890</t>
  </si>
  <si>
    <t>3CQ83838C7</t>
  </si>
  <si>
    <t>3CQ83836YT</t>
  </si>
  <si>
    <t>3CQ83838C3</t>
  </si>
  <si>
    <t>3CQ838388F</t>
  </si>
  <si>
    <t>0040</t>
  </si>
  <si>
    <t>Laptop Mod. HP EliteBook Workstation 8730w (Computadora portatil)</t>
  </si>
  <si>
    <t>Elite Book</t>
  </si>
  <si>
    <t>MW8730w</t>
  </si>
  <si>
    <t>CNU9050G9C</t>
  </si>
  <si>
    <t>12456 y 12727</t>
  </si>
  <si>
    <t>Planificación (Alexandra)</t>
  </si>
  <si>
    <t>CNU91183JM</t>
  </si>
  <si>
    <t>12457 y 12727</t>
  </si>
  <si>
    <t>CMN-0 (Jeannette Aguilar)</t>
  </si>
  <si>
    <t>CNU91185YD</t>
  </si>
  <si>
    <t>12458 y 12727</t>
  </si>
  <si>
    <t xml:space="preserve">Sun Storage TekTM TapeAuloader With 24slots, 1HPLTO3 HH. </t>
  </si>
  <si>
    <t>SL24 1HPLTO3 HH. CSI</t>
  </si>
  <si>
    <t>0948BR0089</t>
  </si>
  <si>
    <t>Multicomputos, S.A</t>
  </si>
  <si>
    <t>Sub-total Año 2009</t>
  </si>
  <si>
    <t>Total Acumulado 2009</t>
  </si>
  <si>
    <t>Administrativo 7mo.P</t>
  </si>
  <si>
    <t>Impresora  (IN) HP Officejet 80003 PRO (CB092A)</t>
  </si>
  <si>
    <t>HP Officejet</t>
  </si>
  <si>
    <t>SMY98Q2407H</t>
  </si>
  <si>
    <t>Cecomsa</t>
  </si>
  <si>
    <t>FACTURA</t>
  </si>
  <si>
    <t>Swich-24 ports-EN, Cisco Catalyst 3560G-24PS-Fast EN, Gigabit EN-10 Base-T, 100Base-TX, 1000Base-T+4xSFP (empty)-1U-PoE.</t>
  </si>
  <si>
    <t xml:space="preserve">Cisco </t>
  </si>
  <si>
    <t>Catalyst 3560G</t>
  </si>
  <si>
    <t>FOC1352W01H</t>
  </si>
  <si>
    <t>Redes IP, S. A.</t>
  </si>
  <si>
    <t>G042</t>
  </si>
  <si>
    <t>FOC1352W012</t>
  </si>
  <si>
    <t>FOC1352W01M</t>
  </si>
  <si>
    <t>FOC1352W01E</t>
  </si>
  <si>
    <t>FOC1352W021</t>
  </si>
  <si>
    <t>G-042</t>
  </si>
  <si>
    <t>CON-SNT-3560GTS SMARTNET 8X5XNBD Cat 3560 24 10/100/1000T + 4 SFP St</t>
  </si>
  <si>
    <t>PATCH CORD MULTIMODO DUPLEX LC-LC 10 METROS</t>
  </si>
  <si>
    <t xml:space="preserve">Servidor </t>
  </si>
  <si>
    <t>Poweredge R610.</t>
  </si>
  <si>
    <t>91PTKN1</t>
  </si>
  <si>
    <t>FL Betances, S.A.</t>
  </si>
  <si>
    <t>91NXKN1</t>
  </si>
  <si>
    <t xml:space="preserve">Servidor  </t>
  </si>
  <si>
    <t>91PVKN1</t>
  </si>
  <si>
    <t>CMRN-0</t>
  </si>
  <si>
    <t>UPS  EA200 1500VA</t>
  </si>
  <si>
    <t>Tecnomaster</t>
  </si>
  <si>
    <t>E100554077</t>
  </si>
  <si>
    <t>Plaza Lama</t>
  </si>
  <si>
    <t>Serv. Generales</t>
  </si>
  <si>
    <t>EL00554039</t>
  </si>
  <si>
    <t>NC Computing L230, Software V Space, Puerto USB, entrada para microfono, entrada de altavoces. Puerto para teclado PS/2, Puerto para mouse PS/2, Base para monitor.</t>
  </si>
  <si>
    <t>NCL230K00300510</t>
  </si>
  <si>
    <t>Galaxia Computer, S.R.L.</t>
  </si>
  <si>
    <t>NC Computing L230</t>
  </si>
  <si>
    <t>NCL230K10300511</t>
  </si>
  <si>
    <t>Contabilidad-Tesoreria</t>
  </si>
  <si>
    <t>NCL230K20300512</t>
  </si>
  <si>
    <t>NCL230K30300503</t>
  </si>
  <si>
    <t>NCL230K40300504</t>
  </si>
  <si>
    <t>NCL230K50300445</t>
  </si>
  <si>
    <t>NCL230K50300515</t>
  </si>
  <si>
    <t>NCL230K60300516</t>
  </si>
  <si>
    <t>NCL230K70300517</t>
  </si>
  <si>
    <t>NCL230K80300518</t>
  </si>
  <si>
    <t>NCL230K00300520</t>
  </si>
  <si>
    <t>NCL230K20300502</t>
  </si>
  <si>
    <t>NCL230K20300522</t>
  </si>
  <si>
    <t>NCL230K30300513</t>
  </si>
  <si>
    <t>NCL230K40300514</t>
  </si>
  <si>
    <t>NCL230K50300505</t>
  </si>
  <si>
    <t>Recepción 1er. Piso</t>
  </si>
  <si>
    <t>NCL230K60300506</t>
  </si>
  <si>
    <t>NCL230K70300507</t>
  </si>
  <si>
    <t>NCL230K80300508</t>
  </si>
  <si>
    <t>NCL230K90300509</t>
  </si>
  <si>
    <t>Adm. De la Gcia. General</t>
  </si>
  <si>
    <t>Grabadora digital  voice recorder de 2GB.</t>
  </si>
  <si>
    <t>RR-US571</t>
  </si>
  <si>
    <t>MK0CB001455</t>
  </si>
  <si>
    <t>Compu-Office Dominicana</t>
  </si>
  <si>
    <t>12-035987</t>
  </si>
  <si>
    <t>MK0DB001009</t>
  </si>
  <si>
    <t>Sub-total Año 2010</t>
  </si>
  <si>
    <t>Total Acumulado 2010</t>
  </si>
  <si>
    <t>CPU HP Compaq, Elite 8100 Core i3 540 3.06 GHz, Small form factor.  Dimensions (WxDxH) 13.3 in x 14.9 in x 3.9 in Weight 16.8 lbs.</t>
  </si>
  <si>
    <t>Elite 8100</t>
  </si>
  <si>
    <t>MXL0510TVC</t>
  </si>
  <si>
    <t>Officeline, SRL</t>
  </si>
  <si>
    <t>A01001001150000337</t>
  </si>
  <si>
    <t>CPU HP Compaq, Elite 8100</t>
  </si>
  <si>
    <t>MXL0510TVG</t>
  </si>
  <si>
    <t>MXL0510TV4</t>
  </si>
  <si>
    <t>MXL0510TVD</t>
  </si>
  <si>
    <t>MXL0510TVP</t>
  </si>
  <si>
    <t>MXL0510TVJ</t>
  </si>
  <si>
    <t>MXL0510TV8</t>
  </si>
  <si>
    <t>MXL0510TVQ</t>
  </si>
  <si>
    <t>MXL0510TVB</t>
  </si>
  <si>
    <t>MXL0510TV6</t>
  </si>
  <si>
    <t>Impresora Officejet(CB092A)</t>
  </si>
  <si>
    <t>8000 pro</t>
  </si>
  <si>
    <t>CN07D3K19X</t>
  </si>
  <si>
    <t>A030010011500004684</t>
  </si>
  <si>
    <t>Impresor Matricial EPSON LX-300+II</t>
  </si>
  <si>
    <t>LX-300+II</t>
  </si>
  <si>
    <t>G8DY505599</t>
  </si>
  <si>
    <t>A030010011500004780</t>
  </si>
  <si>
    <t>UPS 1000VA</t>
  </si>
  <si>
    <t>EA200</t>
  </si>
  <si>
    <t>A010030021500005694</t>
  </si>
  <si>
    <t>Laptop HP 4420S C/5/2.66 GHZ, 14", DVDR WLS BT W7P 64 (computadora Portatil)</t>
  </si>
  <si>
    <t>4420S</t>
  </si>
  <si>
    <t>CNF1031JQC</t>
  </si>
  <si>
    <t>A010010011500000957</t>
  </si>
  <si>
    <t>Trasmisor de Video Inalámbrico</t>
  </si>
  <si>
    <t>Imation Link</t>
  </si>
  <si>
    <t>Compu-Oficce Dominicana</t>
  </si>
  <si>
    <t>A010010011500000367</t>
  </si>
  <si>
    <t>Cisco Integrated Services Router,DSL Interface Card,2fxo Y ESTAP 4U 19" Wall Mount Brack(Rack Abierto)</t>
  </si>
  <si>
    <t>CISCO</t>
  </si>
  <si>
    <t>2651XM</t>
  </si>
  <si>
    <t>GTI Sistemas de Seguridad</t>
  </si>
  <si>
    <t>A010010011500000090</t>
  </si>
  <si>
    <t>Monitor Flat Panel de 18.5</t>
  </si>
  <si>
    <t>w1858</t>
  </si>
  <si>
    <t>CNC0160QB1</t>
  </si>
  <si>
    <t>A010010011500000393</t>
  </si>
  <si>
    <t>CNC0160QB2</t>
  </si>
  <si>
    <t>CNC0160QB3</t>
  </si>
  <si>
    <t>CNC0160QB7</t>
  </si>
  <si>
    <t>CNC0160QBH</t>
  </si>
  <si>
    <t>CNC0160QBN</t>
  </si>
  <si>
    <t>CNC0160QCV</t>
  </si>
  <si>
    <t>CNC0160RKG</t>
  </si>
  <si>
    <t>CNC0160RL6</t>
  </si>
  <si>
    <t>CNC0170BZ8</t>
  </si>
  <si>
    <t>CNC0170CJ5</t>
  </si>
  <si>
    <t>CNC0170CJQ</t>
  </si>
  <si>
    <t>CNC0170CTT</t>
  </si>
  <si>
    <t>CNC0170D5Y</t>
  </si>
  <si>
    <t>CNC02202H7</t>
  </si>
  <si>
    <t>Impresora de Etiquetas</t>
  </si>
  <si>
    <t>Zebra</t>
  </si>
  <si>
    <t>2824+</t>
  </si>
  <si>
    <t>282P-201210-000</t>
  </si>
  <si>
    <t>HandHeld</t>
  </si>
  <si>
    <t>Motorola</t>
  </si>
  <si>
    <t>MC-70</t>
  </si>
  <si>
    <t>UPS 1500VA</t>
  </si>
  <si>
    <t>A010030030100025812</t>
  </si>
  <si>
    <t>Impresora HP OfficeJet PRO 8000  English/Spanish 110-220 V</t>
  </si>
  <si>
    <t>CN1313Q34Y</t>
  </si>
  <si>
    <t>A010010011500001079</t>
  </si>
  <si>
    <t>Laptop SONY VAIO EA , intel Core 15, 2410M,  Processor with turbo Boost Up 2.90 GHZ, 4GB, DDR3-SDRAM-1333, 14" LED Backlight Display 320 GB Hard Drive, Genuine Windows 7 home Premiun</t>
  </si>
  <si>
    <t xml:space="preserve">SONY </t>
  </si>
  <si>
    <t>VAIO EA</t>
  </si>
  <si>
    <t>VPCEG190X-LBOM</t>
  </si>
  <si>
    <t>Garecom, S.R.L</t>
  </si>
  <si>
    <t>A010010011500000078</t>
  </si>
  <si>
    <t>Impresora HP 8500 A+(CM756A)</t>
  </si>
  <si>
    <t>8500A+</t>
  </si>
  <si>
    <t>SCN08OBM0SB</t>
  </si>
  <si>
    <t>A030010011500005298</t>
  </si>
  <si>
    <t>PROYECTOR EPSPON POWER LITE S12, 2800 LUMENS</t>
  </si>
  <si>
    <t>EPSON</t>
  </si>
  <si>
    <t>S12</t>
  </si>
  <si>
    <t>PSPK1901717</t>
  </si>
  <si>
    <t>A010010011500000590</t>
  </si>
  <si>
    <t>Sub-total Año 2011</t>
  </si>
  <si>
    <t>INVENTARIO CONTRALORIA</t>
  </si>
  <si>
    <t>Total Acumulado 2011</t>
  </si>
  <si>
    <t xml:space="preserve">Monitor LCD Flat 19"  </t>
  </si>
  <si>
    <t xml:space="preserve">HP </t>
  </si>
  <si>
    <t>Compaq LE1911</t>
  </si>
  <si>
    <t>CNK2090ZJ1(Almacen)</t>
  </si>
  <si>
    <t>OFFICELINE, SRL</t>
  </si>
  <si>
    <t>A010010011500000524</t>
  </si>
  <si>
    <t>CNK2090ZJD(Almacen)</t>
  </si>
  <si>
    <t>CNK2090ZJN(Almacen)</t>
  </si>
  <si>
    <t>CNK2090ZJ3</t>
  </si>
  <si>
    <t>CNK2090ZJ4</t>
  </si>
  <si>
    <t>CNK2090ZJ5(Almacen)</t>
  </si>
  <si>
    <t>CNK2090ZJ6(Almacen)</t>
  </si>
  <si>
    <t>CNK2090ZJ8</t>
  </si>
  <si>
    <t>CNK2090ZHV(Almacen)</t>
  </si>
  <si>
    <t>CNK2090ZWW3</t>
  </si>
  <si>
    <t xml:space="preserve">SERVIDOR DELL R610 </t>
  </si>
  <si>
    <t>R610</t>
  </si>
  <si>
    <t>7BFTMS1</t>
  </si>
  <si>
    <t>FL BETANCES</t>
  </si>
  <si>
    <t>A010010011500000240</t>
  </si>
  <si>
    <t>NC Computing L300, con Software y accesorios.</t>
  </si>
  <si>
    <t>nComputing</t>
  </si>
  <si>
    <t>L300</t>
  </si>
  <si>
    <t>MULTICOMPUTOS, S.R.L.</t>
  </si>
  <si>
    <t>A030010011500000398</t>
  </si>
  <si>
    <t>NC Computing L300</t>
  </si>
  <si>
    <t>FUJITSU</t>
  </si>
  <si>
    <t>FI-6130Z</t>
  </si>
  <si>
    <t>SONY</t>
  </si>
  <si>
    <t xml:space="preserve">VPL-EX145 3100 </t>
  </si>
  <si>
    <t>A010010011500000362</t>
  </si>
  <si>
    <t>Pantalla Eléctrica 100"</t>
  </si>
  <si>
    <t xml:space="preserve">DRAPER BARONET </t>
  </si>
  <si>
    <t>APC SYMMENTRA POWER MODULE</t>
  </si>
  <si>
    <t>LX 4KVA</t>
  </si>
  <si>
    <t>POWER PLACE DOMINICANA</t>
  </si>
  <si>
    <t>A010010011500000242</t>
  </si>
  <si>
    <t>Total Acumulado 2012</t>
  </si>
  <si>
    <t>CPU Optiplex 790</t>
  </si>
  <si>
    <t>CLL19S1</t>
  </si>
  <si>
    <t>A010010011500000763</t>
  </si>
  <si>
    <t>CLLXNS1</t>
  </si>
  <si>
    <t>CLLYNS1</t>
  </si>
  <si>
    <t>CLLZNS1</t>
  </si>
  <si>
    <t>CLMOPS1</t>
  </si>
  <si>
    <t>CLM1PS1</t>
  </si>
  <si>
    <t>CLMWNS1</t>
  </si>
  <si>
    <t>CLMYNS1</t>
  </si>
  <si>
    <t>CLMZNS1</t>
  </si>
  <si>
    <t>CLN1PS1</t>
  </si>
  <si>
    <t xml:space="preserve">Monitor Flat Panel 17"  </t>
  </si>
  <si>
    <t>E178FPB</t>
  </si>
  <si>
    <t>CN-0HF0K3-64180-23L-3HUM(Almacen)</t>
  </si>
  <si>
    <t>CN-0HF0K3-64180-23L-3JBM</t>
  </si>
  <si>
    <t>CN-0HF0K3-64180-23L-3HZM</t>
  </si>
  <si>
    <t>CN-0HF0K3-64180-23L-3JAM</t>
  </si>
  <si>
    <t>CN-0HF0K3-64180-23L-3J8M(Almacen)</t>
  </si>
  <si>
    <t>CN-0HF0K3-64180-23L-3HMM</t>
  </si>
  <si>
    <t>CN-0HF0K3-64180-23L-3HDM(Almacen)</t>
  </si>
  <si>
    <t>CN-0HF0K3-64180-23L-3HPM</t>
  </si>
  <si>
    <t>CN-0HF0K3-64180-22H-352U(Almacen)</t>
  </si>
  <si>
    <t>CN-0HF0K3-64180-22H-353U(Almacen)</t>
  </si>
  <si>
    <t>Caja de Disco Nas de 8TB Lomenga</t>
  </si>
  <si>
    <t>Lomega</t>
  </si>
  <si>
    <t>COMISION</t>
  </si>
  <si>
    <t>Proyector Epson Powerlite</t>
  </si>
  <si>
    <t>Powerlite S12+2800</t>
  </si>
  <si>
    <t>PSK2408599</t>
  </si>
  <si>
    <t>A010010011500000788</t>
  </si>
  <si>
    <t>Pantalla Para Proyector Klip 120 con Tripode KPS-104</t>
  </si>
  <si>
    <t>KLIP 120</t>
  </si>
  <si>
    <t>Impresor HP Officejet 8000 pro</t>
  </si>
  <si>
    <t>Enterprice A811a</t>
  </si>
  <si>
    <t>CN1ASBG0BZ</t>
  </si>
  <si>
    <t>NCF</t>
  </si>
  <si>
    <t>A030010011500005962</t>
  </si>
  <si>
    <t xml:space="preserve">IMPRESORA MULTIFUNCIONAL  </t>
  </si>
  <si>
    <t xml:space="preserve"> XEROX</t>
  </si>
  <si>
    <t>COLOR QUBE 9303</t>
  </si>
  <si>
    <t>XNE132729</t>
  </si>
  <si>
    <t>OD DOMINICANA CORP.</t>
  </si>
  <si>
    <t>A010010011500000546</t>
  </si>
  <si>
    <t>Solución De Seguridad Unificada (UTM)</t>
  </si>
  <si>
    <t>UNIFIED COMMUNICATIONS T.</t>
  </si>
  <si>
    <t>A010010011500000037/039</t>
  </si>
  <si>
    <t>18206/164/028</t>
  </si>
  <si>
    <t>Laptop Proc. Core i5, Familia 3210m, 2.5 Ghz, Pantalla de 14”, 500 GB Disco Duro, DVD, Bulto de Nylon., 3 años de Garantia</t>
  </si>
  <si>
    <t xml:space="preserve"> HP</t>
  </si>
  <si>
    <t>EliteBook 8470</t>
  </si>
  <si>
    <t>CNU312BVXX</t>
  </si>
  <si>
    <t>SINERGIT, S.A.</t>
  </si>
  <si>
    <t>A010010031500001055</t>
  </si>
  <si>
    <t>18031/162/191</t>
  </si>
  <si>
    <t xml:space="preserve">CNU312BVXY </t>
  </si>
  <si>
    <t>CNU312BVXS</t>
  </si>
  <si>
    <t>CNU312BVY3</t>
  </si>
  <si>
    <t>CNU312BVY7</t>
  </si>
  <si>
    <t>CNU312BVY1</t>
  </si>
  <si>
    <t>IPAD 4 WI-FI + CEL 64GB BLACK</t>
  </si>
  <si>
    <t xml:space="preserve">APPLE NEW </t>
  </si>
  <si>
    <t>IPAD</t>
  </si>
  <si>
    <t>SDMPK50FBF18C</t>
  </si>
  <si>
    <t>A030010011500006442</t>
  </si>
  <si>
    <t>IMPRESORA MULTIFUNCIONAL  CANON IR-1730</t>
  </si>
  <si>
    <t>CANON</t>
  </si>
  <si>
    <t>IR-1730</t>
  </si>
  <si>
    <t>HHC13824</t>
  </si>
  <si>
    <t>SYNTES, S.R.L.</t>
  </si>
  <si>
    <t>A060010011500001240</t>
  </si>
  <si>
    <t>121-07</t>
  </si>
  <si>
    <t>18029/161/205</t>
  </si>
  <si>
    <t>HHC13986</t>
  </si>
  <si>
    <t>HHC13981</t>
  </si>
  <si>
    <t>HHC13839</t>
  </si>
  <si>
    <t>Sub-total Año 2013</t>
  </si>
  <si>
    <t>Total Acumulado 2013</t>
  </si>
  <si>
    <t>SERVIDOR POWER EDGE R20</t>
  </si>
  <si>
    <t xml:space="preserve">POWER EDGE </t>
  </si>
  <si>
    <t>R20</t>
  </si>
  <si>
    <t>FL BETANCES &amp; ASOC., S.A.</t>
  </si>
  <si>
    <t>A010010011500002642</t>
  </si>
  <si>
    <t>1958/2181/2265-1</t>
  </si>
  <si>
    <t>Compras Octubre 2014</t>
  </si>
  <si>
    <t>IMPRESORA</t>
  </si>
  <si>
    <t>OFFICEJET PRO 8610</t>
  </si>
  <si>
    <t>CN45NB3119</t>
  </si>
  <si>
    <t>2594-1</t>
  </si>
  <si>
    <t>Compras Noviembre 2014</t>
  </si>
  <si>
    <t>Sub-total Año 2014</t>
  </si>
  <si>
    <t>Total Acumulado 2014</t>
  </si>
  <si>
    <t>Inventario de Activos Fijos (Equipos y Muebles de Oficina)</t>
  </si>
  <si>
    <t>Fecha</t>
  </si>
  <si>
    <t>G-</t>
  </si>
  <si>
    <t>Sillón Victoria C/B  Ajsut tela, color negro</t>
  </si>
  <si>
    <t>Dominicana de Oficina, S.A.</t>
  </si>
  <si>
    <t>Salón de reuniones (S.P.M)</t>
  </si>
  <si>
    <t>G-001</t>
  </si>
  <si>
    <t>Sumadora Eléctrica</t>
  </si>
  <si>
    <t>2630P</t>
  </si>
  <si>
    <t>ID07572A</t>
  </si>
  <si>
    <t>G-003</t>
  </si>
  <si>
    <t>Maquina de escribir eléctrica</t>
  </si>
  <si>
    <t>Nakajima</t>
  </si>
  <si>
    <t>AX-160</t>
  </si>
  <si>
    <t>E52783 (9809)</t>
  </si>
  <si>
    <t>L &amp; C Supply Products, S.A.</t>
  </si>
  <si>
    <t>Contabilidad</t>
  </si>
  <si>
    <t>G-004</t>
  </si>
  <si>
    <t>G-006</t>
  </si>
  <si>
    <t xml:space="preserve">Retorno Imp.2 gavetas Metal izquierdo 18x39 t/crema </t>
  </si>
  <si>
    <t>18" X 39"</t>
  </si>
  <si>
    <t>Industrias Metálicas Omar</t>
  </si>
  <si>
    <t>G-008</t>
  </si>
  <si>
    <t>Retorno Import. 2 Gvtas Metal Izq. 18x39 t/crema p/crema</t>
  </si>
  <si>
    <t>G-009</t>
  </si>
  <si>
    <t>Mesa marrón para Fotocopiadora 32x24x28</t>
  </si>
  <si>
    <t>31 1/2L X 23 1/2Ancho</t>
  </si>
  <si>
    <t>G-011</t>
  </si>
  <si>
    <t xml:space="preserve">Retorno en melanina de dos gavetas importado, color crema </t>
  </si>
  <si>
    <t>41L X 17 1/2Ancho</t>
  </si>
  <si>
    <t>León G</t>
  </si>
  <si>
    <t>G-012</t>
  </si>
  <si>
    <t>EL-2630PIII</t>
  </si>
  <si>
    <t>4D087498</t>
  </si>
  <si>
    <t>G-013</t>
  </si>
  <si>
    <t>Sillón Ejecutivo en tela LG-0507 Color Negro</t>
  </si>
  <si>
    <t>Ejecutivo</t>
  </si>
  <si>
    <t>G-014</t>
  </si>
  <si>
    <t>Escritorio en caoba</t>
  </si>
  <si>
    <t>63L X 31Ancho</t>
  </si>
  <si>
    <t>G-015</t>
  </si>
  <si>
    <t>Retorno en madera de andiroba 2 gavetas lustrado</t>
  </si>
  <si>
    <t>Soluciones Ambientes y Diseños</t>
  </si>
  <si>
    <t>G-016</t>
  </si>
  <si>
    <t>EL-2630P</t>
  </si>
  <si>
    <t>ID158260</t>
  </si>
  <si>
    <t>G-018</t>
  </si>
  <si>
    <t>Archivo Oficio duramax de 4 gavetas, color crema, p/folders</t>
  </si>
  <si>
    <t>Muebles Omar</t>
  </si>
  <si>
    <t>Area de archivo</t>
  </si>
  <si>
    <t>G-021</t>
  </si>
  <si>
    <t>Modulo de 2 Gtas. Retorno en melanina de dos gavetas, color C.</t>
  </si>
  <si>
    <t>G-022</t>
  </si>
  <si>
    <t>4D088228</t>
  </si>
  <si>
    <t>G-024</t>
  </si>
  <si>
    <t>Lateral Modular Crema 19x36, base metal, tope melamina</t>
  </si>
  <si>
    <t>39 1/2L X 17 3/4ancho.</t>
  </si>
  <si>
    <t>G-025</t>
  </si>
  <si>
    <t>ID202139</t>
  </si>
  <si>
    <t>Para descargo</t>
  </si>
  <si>
    <t>G-026</t>
  </si>
  <si>
    <t>Sacapuntas Eléctrico</t>
  </si>
  <si>
    <t>Boston</t>
  </si>
  <si>
    <t>296A</t>
  </si>
  <si>
    <t>G-027</t>
  </si>
  <si>
    <t>Caja Fuerte SS-150</t>
  </si>
  <si>
    <t>Eagle Safes</t>
  </si>
  <si>
    <t>Ferretería Americana</t>
  </si>
  <si>
    <t>G-028</t>
  </si>
  <si>
    <t>Armario en madera de una puerta doble</t>
  </si>
  <si>
    <t>85L X 38 3/4Ancho</t>
  </si>
  <si>
    <t>G-029</t>
  </si>
  <si>
    <t>G-031</t>
  </si>
  <si>
    <t>Armario en madera de 2 puertas</t>
  </si>
  <si>
    <t>85L X 30 1/4Ancho</t>
  </si>
  <si>
    <t>Taller Ebanistería Bautista y/o Anny Bautista</t>
  </si>
  <si>
    <t>Orden de C.</t>
  </si>
  <si>
    <t>Taller Ebanisteria Bautista</t>
  </si>
  <si>
    <t>G-032</t>
  </si>
  <si>
    <t>31 1/4L X 27Ancho</t>
  </si>
  <si>
    <t>G-033</t>
  </si>
  <si>
    <t>Silla plegadiza para visitas, en tela color crema</t>
  </si>
  <si>
    <t>G-035</t>
  </si>
  <si>
    <t>Silla plegadiza para visitas, en tela color crema eq of. 282</t>
  </si>
  <si>
    <t>G-036</t>
  </si>
  <si>
    <t>Silla plegadiza para visitas, en tela color crema(Almacen)</t>
  </si>
  <si>
    <t>G-037</t>
  </si>
  <si>
    <t>Silla para visitas, en tela color negro. 0360</t>
  </si>
  <si>
    <t xml:space="preserve">Cuarto de Servidores </t>
  </si>
  <si>
    <t>G-038</t>
  </si>
  <si>
    <t>Triturador de papeles</t>
  </si>
  <si>
    <t>Shredmaster</t>
  </si>
  <si>
    <t>SC70</t>
  </si>
  <si>
    <t>Papel 2000, C. por A.</t>
  </si>
  <si>
    <t>G-039</t>
  </si>
  <si>
    <t>Cortina en madera, mahogany</t>
  </si>
  <si>
    <t>68 x 32 1/2</t>
  </si>
  <si>
    <t>Miami´s Design</t>
  </si>
  <si>
    <t>G-040</t>
  </si>
  <si>
    <t>70"X 68"</t>
  </si>
  <si>
    <t>G-041</t>
  </si>
  <si>
    <t>36.75x68</t>
  </si>
  <si>
    <t>Miami's Desing</t>
  </si>
  <si>
    <t>33.75 x 68</t>
  </si>
  <si>
    <t>G-043</t>
  </si>
  <si>
    <t>Cortina de madera</t>
  </si>
  <si>
    <t>70.25 x 68</t>
  </si>
  <si>
    <t>G-045</t>
  </si>
  <si>
    <t>Archivo Oficio Omar 2 Gvtas. Crema p/forders 81/2x14</t>
  </si>
  <si>
    <t>G-046</t>
  </si>
  <si>
    <t xml:space="preserve">Reloj recibidor de correspondencia </t>
  </si>
  <si>
    <t>Amano-Cincinati</t>
  </si>
  <si>
    <t>P1x3000x</t>
  </si>
  <si>
    <t>Tomper, S.A.</t>
  </si>
  <si>
    <t>Ord. Compra</t>
  </si>
  <si>
    <t>G-047</t>
  </si>
  <si>
    <t>Sillón secretarial Tonic, color negro</t>
  </si>
  <si>
    <t>Euroffice</t>
  </si>
  <si>
    <t>G-049</t>
  </si>
  <si>
    <t>Sillas estacionarias en hierro, tapizado color negro</t>
  </si>
  <si>
    <t>Todo Usado</t>
  </si>
  <si>
    <t>Ofic. Gte. Sist. Prov. 6to. Piso</t>
  </si>
  <si>
    <t>G-050</t>
  </si>
  <si>
    <t>Silla Estacionaria en Hierro, Tapizado Color Negro</t>
  </si>
  <si>
    <t>Gerencia de planificación</t>
  </si>
  <si>
    <t>G-052</t>
  </si>
  <si>
    <t>Archivo de 2 Gvtas. 8 1/2 x 13</t>
  </si>
  <si>
    <t>G-053</t>
  </si>
  <si>
    <t>Sillón secretarial, color negro.</t>
  </si>
  <si>
    <t>G-054</t>
  </si>
  <si>
    <t>Armario p/oficina 18x36x72, importado crema, paneles móvil</t>
  </si>
  <si>
    <t>último cubículo oficina</t>
  </si>
  <si>
    <t>G-055</t>
  </si>
  <si>
    <t>Armario en metal de 2 puertas, color crema, 18x36x27</t>
  </si>
  <si>
    <t>Azua</t>
  </si>
  <si>
    <t>G-057</t>
  </si>
  <si>
    <t>Silla estacionaria para visita en hierro, tapizado color negro</t>
  </si>
  <si>
    <t>G-058</t>
  </si>
  <si>
    <t>G-060</t>
  </si>
  <si>
    <t>Sillón Victoria C/B, Ajust, color negro</t>
  </si>
  <si>
    <t>G-061</t>
  </si>
  <si>
    <t>66"L X 44 1/2"Ancho</t>
  </si>
  <si>
    <t>D' Colores Toldos, S.A.</t>
  </si>
  <si>
    <t>G-062</t>
  </si>
  <si>
    <t>Armario en metal de 2 puertas, color crema 18x36x4</t>
  </si>
  <si>
    <t>G-063</t>
  </si>
  <si>
    <t>G-070</t>
  </si>
  <si>
    <t>Archivo de 2 gavetas, color gris, 8 1/2 x 13</t>
  </si>
  <si>
    <t>Dpto. Administrativo</t>
  </si>
  <si>
    <t>G-072</t>
  </si>
  <si>
    <t>Archivo Oficio duramax, 2 gvtas, color crema, p/folders</t>
  </si>
  <si>
    <t>G-074</t>
  </si>
  <si>
    <t>G-075</t>
  </si>
  <si>
    <t>_último cubículo oficina</t>
  </si>
  <si>
    <t>G-076</t>
  </si>
  <si>
    <t>Archivo de 2 gavetas color gris</t>
  </si>
  <si>
    <t>8 /12 x 11</t>
  </si>
  <si>
    <t>Sótano</t>
  </si>
  <si>
    <t>G-077</t>
  </si>
  <si>
    <t>Consultorio</t>
  </si>
  <si>
    <t>G-078</t>
  </si>
  <si>
    <t>G-079</t>
  </si>
  <si>
    <t>70 x 68</t>
  </si>
  <si>
    <t>G-080</t>
  </si>
  <si>
    <t>G-081</t>
  </si>
  <si>
    <t>G-082</t>
  </si>
  <si>
    <t>G-083</t>
  </si>
  <si>
    <t>68"L X 44"Ancho</t>
  </si>
  <si>
    <t>G-087</t>
  </si>
  <si>
    <t xml:space="preserve">Ofic. Administrativa </t>
  </si>
  <si>
    <t>G-088</t>
  </si>
  <si>
    <t>Archivo de 2 gavetas, color gris.</t>
  </si>
  <si>
    <t>G-089</t>
  </si>
  <si>
    <t>G-090</t>
  </si>
  <si>
    <t>G-094</t>
  </si>
  <si>
    <t>Sillón ejecutivo, color negro.</t>
  </si>
  <si>
    <t>G-095</t>
  </si>
  <si>
    <t>G-097</t>
  </si>
  <si>
    <t>Armario en metal de 2 puertas, color crema.</t>
  </si>
  <si>
    <t>18x36x72</t>
  </si>
  <si>
    <t>Leon G</t>
  </si>
  <si>
    <t>Azotea</t>
  </si>
  <si>
    <t>G-098</t>
  </si>
  <si>
    <t>Silla estacionaria de espera en hierro, tapizado en negro.</t>
  </si>
  <si>
    <t>G-099</t>
  </si>
  <si>
    <t>Consultorio Médico</t>
  </si>
  <si>
    <t>G-101</t>
  </si>
  <si>
    <t>Modulo Rodante Mod. 2000 en Melamina con 3 Gtas</t>
  </si>
  <si>
    <t>una tipo archivo con llave</t>
  </si>
  <si>
    <t>Meycy</t>
  </si>
  <si>
    <t>G-103</t>
  </si>
  <si>
    <t>Sótano (Serv. Generales)</t>
  </si>
  <si>
    <t>G-104</t>
  </si>
  <si>
    <t>Archivo de 2 gavetas, color crema, 8 1/2 x 13</t>
  </si>
  <si>
    <t>G-106</t>
  </si>
  <si>
    <t>Retorno en melanina, color gris.</t>
  </si>
  <si>
    <t>41"L X 17 1/2"Ancho</t>
  </si>
  <si>
    <t>G-109</t>
  </si>
  <si>
    <t>68 x 44.50</t>
  </si>
  <si>
    <t>G-113</t>
  </si>
  <si>
    <t>Sillón semi-ejecutivo, color negro. (mal estado)</t>
  </si>
  <si>
    <t>Dominicana de Oficina, S. A,</t>
  </si>
  <si>
    <t>Almacén Villa Juana</t>
  </si>
  <si>
    <t>G-114</t>
  </si>
  <si>
    <t>Mesita en madera, color negro</t>
  </si>
  <si>
    <t>23 1/2"L X 15 1/2"Ancho</t>
  </si>
  <si>
    <t>G-116</t>
  </si>
  <si>
    <t>Encuadernadora</t>
  </si>
  <si>
    <t>IBICO</t>
  </si>
  <si>
    <t>OHPO477</t>
  </si>
  <si>
    <t>Dpto. Adm. -Suministro</t>
  </si>
  <si>
    <t>G-117</t>
  </si>
  <si>
    <t>Archivo de 2 gavetas, Color crema</t>
  </si>
  <si>
    <t>G-119</t>
  </si>
  <si>
    <t>Retorno importado 2 gavetas metal derecha 18x39</t>
  </si>
  <si>
    <t>39 1/2"L X 17 1/2"Ancho</t>
  </si>
  <si>
    <t>G-120</t>
  </si>
  <si>
    <t>Sillón ejecutivo, color negro</t>
  </si>
  <si>
    <t>G-122</t>
  </si>
  <si>
    <t>Fotocopiadora</t>
  </si>
  <si>
    <t>Xerox</t>
  </si>
  <si>
    <t>Copycentro235</t>
  </si>
  <si>
    <t>NYDO54376N</t>
  </si>
  <si>
    <t>Xerox Dominicana</t>
  </si>
  <si>
    <t>Oficina Administrativa</t>
  </si>
  <si>
    <t>6258-6679</t>
  </si>
  <si>
    <t>G-123</t>
  </si>
  <si>
    <t>67"L X 35"Ancho</t>
  </si>
  <si>
    <t>G-124</t>
  </si>
  <si>
    <t>70 x 96</t>
  </si>
  <si>
    <t>G-127</t>
  </si>
  <si>
    <t>Retorno en melanina, color gris</t>
  </si>
  <si>
    <t>G-128</t>
  </si>
  <si>
    <t>G-130</t>
  </si>
  <si>
    <t>Silla de espera, color negro</t>
  </si>
  <si>
    <t>G-131</t>
  </si>
  <si>
    <t>G-132</t>
  </si>
  <si>
    <t>67 x 34</t>
  </si>
  <si>
    <t>G-133</t>
  </si>
  <si>
    <t>Trituradora de papeles</t>
  </si>
  <si>
    <t>GBS Shrdmaster</t>
  </si>
  <si>
    <t>80S</t>
  </si>
  <si>
    <t>G-134</t>
  </si>
  <si>
    <t>Escritorio en caoba tipo L de 3 gavetas y una puerta.</t>
  </si>
  <si>
    <t>62"L X 31"Ancho</t>
  </si>
  <si>
    <t>G-135</t>
  </si>
  <si>
    <t>Credenza en caoba de 4 gavetas y 2 puertas</t>
  </si>
  <si>
    <t>59"L X 17"Ancho</t>
  </si>
  <si>
    <t>G-136</t>
  </si>
  <si>
    <t>Librero en caoba de 3 niveles</t>
  </si>
  <si>
    <t>58"L X 14"Ancho</t>
  </si>
  <si>
    <t>G-137</t>
  </si>
  <si>
    <t>2D048435</t>
  </si>
  <si>
    <t>Almacén CNSS (dañada)</t>
  </si>
  <si>
    <t>G-138</t>
  </si>
  <si>
    <t>96 x 70</t>
  </si>
  <si>
    <t>G-140</t>
  </si>
  <si>
    <t>37 x 68</t>
  </si>
  <si>
    <t>G-141</t>
  </si>
  <si>
    <t>25 x72</t>
  </si>
  <si>
    <t>G-144</t>
  </si>
  <si>
    <t>G-147</t>
  </si>
  <si>
    <t>G-150</t>
  </si>
  <si>
    <t>VHS, HI-FI Stereo VCR</t>
  </si>
  <si>
    <t>5LV-N55</t>
  </si>
  <si>
    <t>1D-0237576</t>
  </si>
  <si>
    <t>G-151</t>
  </si>
  <si>
    <t xml:space="preserve">Escritorio Bif </t>
  </si>
  <si>
    <t xml:space="preserve">Mod.RD200 </t>
  </si>
  <si>
    <t>40" X 79"</t>
  </si>
  <si>
    <t>G-152</t>
  </si>
  <si>
    <t>Mesa ala Bif</t>
  </si>
  <si>
    <t xml:space="preserve">Mod.RD100 </t>
  </si>
  <si>
    <t>24" X 40</t>
  </si>
  <si>
    <t>G-153</t>
  </si>
  <si>
    <t>Mesita de 2 niveles, color gris.</t>
  </si>
  <si>
    <t>22L X 15 1/2Ancho X 14Alto</t>
  </si>
  <si>
    <t>GG</t>
  </si>
  <si>
    <t>G-154</t>
  </si>
  <si>
    <t>Trituradora de papeles, color gris.</t>
  </si>
  <si>
    <t xml:space="preserve">GBC </t>
  </si>
  <si>
    <t>G-156</t>
  </si>
  <si>
    <t>Radio casetera</t>
  </si>
  <si>
    <t>Philips</t>
  </si>
  <si>
    <t>AZ1300</t>
  </si>
  <si>
    <t>17KW020334008334</t>
  </si>
  <si>
    <t>G-157</t>
  </si>
  <si>
    <t>Librero Alto con 2 Puertas Elysee y Puertas de vidrio</t>
  </si>
  <si>
    <t>Elysee</t>
  </si>
  <si>
    <t>36 1/2L X 14Ancho X 94 1/2Largo</t>
  </si>
  <si>
    <t>G-158</t>
  </si>
  <si>
    <t>G-159</t>
  </si>
  <si>
    <t>Sillón ejecutivo mod.fly tapizado en piel azul</t>
  </si>
  <si>
    <t>4709-b</t>
  </si>
  <si>
    <t>Consultorio CMR-Santiago</t>
  </si>
  <si>
    <t>G-162</t>
  </si>
  <si>
    <t xml:space="preserve">Sofá para 2 personas en piel, color azul, </t>
  </si>
  <si>
    <t>G-163</t>
  </si>
  <si>
    <t>Mesita de 3 gavetas.</t>
  </si>
  <si>
    <t>Jaysa</t>
  </si>
  <si>
    <t>15 3/4 X 22Ancho</t>
  </si>
  <si>
    <t>G-164</t>
  </si>
  <si>
    <t>Televisor a color, control remoto</t>
  </si>
  <si>
    <t>Thoshiba</t>
  </si>
  <si>
    <t>13A22</t>
  </si>
  <si>
    <t>49466880B</t>
  </si>
  <si>
    <t>Cócina 6to. Piso</t>
  </si>
  <si>
    <t>G-165</t>
  </si>
  <si>
    <t>Home comunications terminal</t>
  </si>
  <si>
    <t>Scientific</t>
  </si>
  <si>
    <t>8610X558</t>
  </si>
  <si>
    <t>FE770LRM5640BC49</t>
  </si>
  <si>
    <t>G-166</t>
  </si>
  <si>
    <t>Cortina en madera, baltic oscuro</t>
  </si>
  <si>
    <t>68.5 x 81</t>
  </si>
  <si>
    <t>Miami's Design</t>
  </si>
  <si>
    <t>G-167</t>
  </si>
  <si>
    <t>86 x 81</t>
  </si>
  <si>
    <t>G-168</t>
  </si>
  <si>
    <t>85 x 81</t>
  </si>
  <si>
    <t>G-169</t>
  </si>
  <si>
    <t>Mesa Escritorio Mod. 1000 en melanina, 28x60 color haya</t>
  </si>
  <si>
    <t>59L X 28Ancho</t>
  </si>
  <si>
    <t>4717-b</t>
  </si>
  <si>
    <t>Asistente GG</t>
  </si>
  <si>
    <t>G-170</t>
  </si>
  <si>
    <t>Archivo de 2 gavetas en madera.</t>
  </si>
  <si>
    <t>G-171</t>
  </si>
  <si>
    <t>G-172</t>
  </si>
  <si>
    <t>Sumadora eléctrica</t>
  </si>
  <si>
    <t>2D136923</t>
  </si>
  <si>
    <t>Ofiventas</t>
  </si>
  <si>
    <t>G-173</t>
  </si>
  <si>
    <t>Sillón Victoria C/B Ajust, color negro.</t>
  </si>
  <si>
    <t>G-177</t>
  </si>
  <si>
    <t>68 Ancho X 81L</t>
  </si>
  <si>
    <t>G-178</t>
  </si>
  <si>
    <t>Sillón Ejecutivo en tela color negro LG-7070</t>
  </si>
  <si>
    <t>G-179</t>
  </si>
  <si>
    <t>Sillón ejecutivo tapizado, color negro</t>
  </si>
  <si>
    <t>G-180</t>
  </si>
  <si>
    <t>Sillón semi-ejecutivo en tela, color negro HID. LG-0306</t>
  </si>
  <si>
    <t>G-181</t>
  </si>
  <si>
    <t>G-184</t>
  </si>
  <si>
    <t>Mesa Conferencia Soke Italiana 8 personas. 39x98 LG-0220</t>
  </si>
  <si>
    <t>98 1/2L X 39 1/2Ancho</t>
  </si>
  <si>
    <t>G-185</t>
  </si>
  <si>
    <t>Archivo en metal 4 gavetas, color crema.</t>
  </si>
  <si>
    <t>8 1/2 x 13</t>
  </si>
  <si>
    <t>Dominicanan de Oficina, S. A.</t>
  </si>
  <si>
    <t>Of. Regional S.P.M</t>
  </si>
  <si>
    <t>G-186</t>
  </si>
  <si>
    <t>70 x 68.5</t>
  </si>
  <si>
    <t>G-188</t>
  </si>
  <si>
    <t>137 X 79</t>
  </si>
  <si>
    <t>G-192</t>
  </si>
  <si>
    <t>Retorno en melanina con 2 gavetas</t>
  </si>
  <si>
    <t>G-193</t>
  </si>
  <si>
    <t>Mesita en madera, color negro de 2 niveles</t>
  </si>
  <si>
    <t>24L X 15 1/2Ancho</t>
  </si>
  <si>
    <t>G-199</t>
  </si>
  <si>
    <t>Archivo de 2 gavetas</t>
  </si>
  <si>
    <t>G-200</t>
  </si>
  <si>
    <t>Trituradora de papel color gris</t>
  </si>
  <si>
    <t>GBC</t>
  </si>
  <si>
    <t>G-201</t>
  </si>
  <si>
    <t>Sillón Ejecutivo en tela LG-0507 Color negro</t>
  </si>
  <si>
    <t>Recepción</t>
  </si>
  <si>
    <t>G-203</t>
  </si>
  <si>
    <t>Fax, color crema</t>
  </si>
  <si>
    <t>Canon</t>
  </si>
  <si>
    <t>Mutipass L6000</t>
  </si>
  <si>
    <t>LEE03694</t>
  </si>
  <si>
    <t>G-204</t>
  </si>
  <si>
    <t>55 x 81</t>
  </si>
  <si>
    <t>G-205</t>
  </si>
  <si>
    <t>70.25 x 68.75</t>
  </si>
  <si>
    <t>G-207</t>
  </si>
  <si>
    <t>Sillón secretarial, color negro</t>
  </si>
  <si>
    <t>G-209</t>
  </si>
  <si>
    <t>Modulo 3 gavetas, color gris</t>
  </si>
  <si>
    <t>G-210</t>
  </si>
  <si>
    <t>Retorno Imp. 2 gavetas Metal derecha 18x39 t/crema</t>
  </si>
  <si>
    <t>G-211</t>
  </si>
  <si>
    <t>Mesita en madera, color negro de 2 niveles(Almacen)</t>
  </si>
  <si>
    <t>G-212</t>
  </si>
  <si>
    <t>Escritorio Recto Ejectivo Harmony</t>
  </si>
  <si>
    <t>Harmony</t>
  </si>
  <si>
    <t>Presidencia del CNSS</t>
  </si>
  <si>
    <t>G-213</t>
  </si>
  <si>
    <t>Sillon, ejecutivo en piel color negro, SINUA</t>
  </si>
  <si>
    <t>SINUA</t>
  </si>
  <si>
    <t>G-214</t>
  </si>
  <si>
    <t>Archivo en madera de 2 gavetas</t>
  </si>
  <si>
    <t>Ofiic. Pte. CNSS</t>
  </si>
  <si>
    <t>G-215</t>
  </si>
  <si>
    <t>Credenza de 1 puerta y 1 gaveta, Harmony</t>
  </si>
  <si>
    <t>47L X 18Ancho</t>
  </si>
  <si>
    <t>G-216</t>
  </si>
  <si>
    <t>Sillones en piel para visita, color vino, Butacas SINUA</t>
  </si>
  <si>
    <t>Ofic. Presidencia CNSS</t>
  </si>
  <si>
    <t>G-217</t>
  </si>
  <si>
    <t>G-218</t>
  </si>
  <si>
    <t>Trituradora de papel, color gris</t>
  </si>
  <si>
    <t>85X</t>
  </si>
  <si>
    <t>Compu Copy SB</t>
  </si>
  <si>
    <t>Dpto.legal</t>
  </si>
  <si>
    <t>G-219</t>
  </si>
  <si>
    <t>Televisor a color control remoto 13"</t>
  </si>
  <si>
    <r>
      <t xml:space="preserve">49466147B, </t>
    </r>
    <r>
      <rPr>
        <b/>
        <sz val="12"/>
        <rFont val="Times New Roman"/>
        <family val="1"/>
      </rPr>
      <t>Chasis</t>
    </r>
    <r>
      <rPr>
        <sz val="12"/>
        <rFont val="Times New Roman"/>
        <family val="1"/>
      </rPr>
      <t xml:space="preserve"> M3L18</t>
    </r>
  </si>
  <si>
    <t>Ofic. Pte. CNSS 7mo. Piso</t>
  </si>
  <si>
    <t>G-220</t>
  </si>
  <si>
    <t>Grabador SC-706, Radio Stereo</t>
  </si>
  <si>
    <t>SuperSonic</t>
  </si>
  <si>
    <t>SC-706CD</t>
  </si>
  <si>
    <t>Radiocentro</t>
  </si>
  <si>
    <t>G-222</t>
  </si>
  <si>
    <t>Porta traje en hierro</t>
  </si>
  <si>
    <t>Ofic. Presidente CNSS</t>
  </si>
  <si>
    <t>G-223</t>
  </si>
  <si>
    <t>70.25 x 69</t>
  </si>
  <si>
    <t>G-225</t>
  </si>
  <si>
    <t>G-227</t>
  </si>
  <si>
    <t>Sillón ejecutivo en piel, color negro</t>
  </si>
  <si>
    <t>Improficinas, S.A.</t>
  </si>
  <si>
    <t>H-003194</t>
  </si>
  <si>
    <t>G-228</t>
  </si>
  <si>
    <t>G-229</t>
  </si>
  <si>
    <t>G-230</t>
  </si>
  <si>
    <t>G-231</t>
  </si>
  <si>
    <t>G-232</t>
  </si>
  <si>
    <t>G-233</t>
  </si>
  <si>
    <t>G-234</t>
  </si>
  <si>
    <t>G-235</t>
  </si>
  <si>
    <t>G-236</t>
  </si>
  <si>
    <t>G-237</t>
  </si>
  <si>
    <t>G-238</t>
  </si>
  <si>
    <t>G-239</t>
  </si>
  <si>
    <t>G-240</t>
  </si>
  <si>
    <t>G-241</t>
  </si>
  <si>
    <t>G-242</t>
  </si>
  <si>
    <t>G-243</t>
  </si>
  <si>
    <t>G-244</t>
  </si>
  <si>
    <t>G-245</t>
  </si>
  <si>
    <t>G-246</t>
  </si>
  <si>
    <t>G-247</t>
  </si>
  <si>
    <t>G-248</t>
  </si>
  <si>
    <t>G-249</t>
  </si>
  <si>
    <t>G-250</t>
  </si>
  <si>
    <t>G-251</t>
  </si>
  <si>
    <t>G-252</t>
  </si>
  <si>
    <t>G-253</t>
  </si>
  <si>
    <t>G-254</t>
  </si>
  <si>
    <t>G-255</t>
  </si>
  <si>
    <t>G-256</t>
  </si>
  <si>
    <t>G-257</t>
  </si>
  <si>
    <t>G-258</t>
  </si>
  <si>
    <t>G-259</t>
  </si>
  <si>
    <t>G-260</t>
  </si>
  <si>
    <t>Salón Grande CNSS</t>
  </si>
  <si>
    <t>G-261</t>
  </si>
  <si>
    <t>G-262</t>
  </si>
  <si>
    <t>G-263</t>
  </si>
  <si>
    <t>Mesa de conferencia para el CNSS, 9 soportes, 2 topes c/borde</t>
  </si>
  <si>
    <t>Fursys</t>
  </si>
  <si>
    <t>G-264</t>
  </si>
  <si>
    <t>Pedestal  de 2 Gavetas</t>
  </si>
  <si>
    <t>Ord. compra</t>
  </si>
  <si>
    <t>G-265</t>
  </si>
  <si>
    <t>Acta para la bandera en caoba</t>
  </si>
  <si>
    <t xml:space="preserve">90Ancho </t>
  </si>
  <si>
    <t>G-266</t>
  </si>
  <si>
    <t>G-267</t>
  </si>
  <si>
    <t>70.50 x 69.50</t>
  </si>
  <si>
    <t>G-268</t>
  </si>
  <si>
    <t>70.50 x 69</t>
  </si>
  <si>
    <t>G-269</t>
  </si>
  <si>
    <t>G-270</t>
  </si>
  <si>
    <t>G-271</t>
  </si>
  <si>
    <t>G-272</t>
  </si>
  <si>
    <t>G-273</t>
  </si>
  <si>
    <t>Mesita para Computadora, LG-6010, 19x39x30 color madera</t>
  </si>
  <si>
    <t>G-278</t>
  </si>
  <si>
    <t>G-279</t>
  </si>
  <si>
    <t xml:space="preserve">Pantalla para Proyector </t>
  </si>
  <si>
    <t>Salón de reuniones (a lado de legal)</t>
  </si>
  <si>
    <t>G-280</t>
  </si>
  <si>
    <t>50Ancho X 82L</t>
  </si>
  <si>
    <t>G-282</t>
  </si>
  <si>
    <t>Sofá para 2 personas tapizado en piel color negro</t>
  </si>
  <si>
    <t>4718-b</t>
  </si>
  <si>
    <t>Saloncito de espera</t>
  </si>
  <si>
    <t>G-283</t>
  </si>
  <si>
    <t>G-284</t>
  </si>
  <si>
    <t>Mesita cuadrada con base en mármol y  tope de cristal de 2 niveles</t>
  </si>
  <si>
    <t>25 3/4 X 25 3/4</t>
  </si>
  <si>
    <t>Saloncito de espera 7mo. Piso</t>
  </si>
  <si>
    <t>G-285</t>
  </si>
  <si>
    <t>Mesita circular con base en mármol y  tope de cristal de 2 niveles</t>
  </si>
  <si>
    <t>G-288</t>
  </si>
  <si>
    <t>Archivo de 3 gavetas</t>
  </si>
  <si>
    <t>G-289</t>
  </si>
  <si>
    <t>Silla de espera para visita, tapizada con brazos azul.</t>
  </si>
  <si>
    <t>Recpción.  Usuario Jinette Bretón</t>
  </si>
  <si>
    <t>G-290</t>
  </si>
  <si>
    <t>G-291</t>
  </si>
  <si>
    <t>Silla de espera para visita, tapizada con brazos  azul.</t>
  </si>
  <si>
    <t>Recepción. Usuario: Jinette Bretón</t>
  </si>
  <si>
    <t>G-292</t>
  </si>
  <si>
    <t>G-295</t>
  </si>
  <si>
    <t>Cafetera eléctrica</t>
  </si>
  <si>
    <t>Oster</t>
  </si>
  <si>
    <t>3294-012</t>
  </si>
  <si>
    <t>G-296</t>
  </si>
  <si>
    <t>Estufa eléctrica de una hornilla (Dañada)</t>
  </si>
  <si>
    <t>Brentwood</t>
  </si>
  <si>
    <t>TS-325</t>
  </si>
  <si>
    <t>G-297</t>
  </si>
  <si>
    <t>Abanico de pared</t>
  </si>
  <si>
    <t>KDK</t>
  </si>
  <si>
    <t>16"</t>
  </si>
  <si>
    <t>Molina Naco</t>
  </si>
  <si>
    <t>G-304</t>
  </si>
  <si>
    <t xml:space="preserve">Cafetera electrica </t>
  </si>
  <si>
    <t>G-305</t>
  </si>
  <si>
    <t>Estufa electrica</t>
  </si>
  <si>
    <t>Rival</t>
  </si>
  <si>
    <t>PR-40</t>
  </si>
  <si>
    <t>Ferretería Cuesta</t>
  </si>
  <si>
    <t>G-306</t>
  </si>
  <si>
    <t>Carrito tipo bar, para servir café, en hierro con tope en madera</t>
  </si>
  <si>
    <t>G-307</t>
  </si>
  <si>
    <t>Mesa retangular base de hierro y tope en madera</t>
  </si>
  <si>
    <t>72L X 30Ancho</t>
  </si>
  <si>
    <t>G-308</t>
  </si>
  <si>
    <t>Silla plastica, color blanco</t>
  </si>
  <si>
    <t>Cocina 6to piso</t>
  </si>
  <si>
    <t>G-309</t>
  </si>
  <si>
    <t>G-310</t>
  </si>
  <si>
    <t>G-311</t>
  </si>
  <si>
    <t>G-312</t>
  </si>
  <si>
    <t>G-313</t>
  </si>
  <si>
    <t>G-314</t>
  </si>
  <si>
    <t>G-315</t>
  </si>
  <si>
    <t>G-316</t>
  </si>
  <si>
    <t>Bebedero electrico, color crema</t>
  </si>
  <si>
    <t>Universal</t>
  </si>
  <si>
    <t>WBF-210LA</t>
  </si>
  <si>
    <t>Cocina 6to. piso</t>
  </si>
  <si>
    <t>987-1007</t>
  </si>
  <si>
    <t>G-320</t>
  </si>
  <si>
    <t>68Ancho X 70L</t>
  </si>
  <si>
    <t>G-321</t>
  </si>
  <si>
    <t>G-322</t>
  </si>
  <si>
    <t>Burrito en hierro para botellones de agua</t>
  </si>
  <si>
    <t>G-323</t>
  </si>
  <si>
    <t>Botiquin, color blanco</t>
  </si>
  <si>
    <t>Cocina 6to.piso</t>
  </si>
  <si>
    <t>G-324</t>
  </si>
  <si>
    <t>Armario de 1 puertas en caoba</t>
  </si>
  <si>
    <t>16Ancho X 80L</t>
  </si>
  <si>
    <t>G-326</t>
  </si>
  <si>
    <t>Retorno Import. 2 Gvtas Metal Izquierdo 18x39 t/crema</t>
  </si>
  <si>
    <t>39 1/2L X 17 1/2Ancho</t>
  </si>
  <si>
    <t>G-327</t>
  </si>
  <si>
    <t>G-328</t>
  </si>
  <si>
    <t>Mesita en hierro con tope en madera de 3 niveles, color negro</t>
  </si>
  <si>
    <t>23L X 16Ancho</t>
  </si>
  <si>
    <t>G-329</t>
  </si>
  <si>
    <t>Mesita en madera de 3 niveles, color negro(Almacen)</t>
  </si>
  <si>
    <t>23 1/2L X 15 1/2Ancho</t>
  </si>
  <si>
    <t>G-330</t>
  </si>
  <si>
    <t>Archivo de 2 gavetas en metal</t>
  </si>
  <si>
    <t>Ofiventas, S.A.</t>
  </si>
  <si>
    <t>Silla plástica, color blanco</t>
  </si>
  <si>
    <t>G-331</t>
  </si>
  <si>
    <t>Silla estacionaria en hierro para visita, tapizada en negro</t>
  </si>
  <si>
    <t>Salón reunión CMR-Santiago.</t>
  </si>
  <si>
    <t>G-332</t>
  </si>
  <si>
    <t>Maleta con rueda, color negro, para cargar equipo de cómputos</t>
  </si>
  <si>
    <t>G-333</t>
  </si>
  <si>
    <t xml:space="preserve">Silla plegadiza, tapizada color crema </t>
  </si>
  <si>
    <t>G-334</t>
  </si>
  <si>
    <t>G-335</t>
  </si>
  <si>
    <t>DAIWA</t>
  </si>
  <si>
    <t>DWA100</t>
  </si>
  <si>
    <t>G-339</t>
  </si>
  <si>
    <t>Silla plastica blanca</t>
  </si>
  <si>
    <t>G-341</t>
  </si>
  <si>
    <t>AFK</t>
  </si>
  <si>
    <t>KM9</t>
  </si>
  <si>
    <t>Dañada</t>
  </si>
  <si>
    <t>G-342</t>
  </si>
  <si>
    <t>Butaca para visita, color negro</t>
  </si>
  <si>
    <t>Comisión Regional O</t>
  </si>
  <si>
    <t>G-343</t>
  </si>
  <si>
    <t>Archivo de 2 gavetas, color gris</t>
  </si>
  <si>
    <t>G-346</t>
  </si>
  <si>
    <t>Mesa rectangular</t>
  </si>
  <si>
    <t>G-347</t>
  </si>
  <si>
    <t>DQ5ff001525</t>
  </si>
  <si>
    <t>G-358</t>
  </si>
  <si>
    <t>2630 PIII</t>
  </si>
  <si>
    <t>5D021803</t>
  </si>
  <si>
    <t>G-360</t>
  </si>
  <si>
    <t>Fax</t>
  </si>
  <si>
    <t>UXP200</t>
  </si>
  <si>
    <t>G-361</t>
  </si>
  <si>
    <t>Calculadora Eléctrica</t>
  </si>
  <si>
    <t>2630 G2</t>
  </si>
  <si>
    <t>Dominicana de Oficina, S. A.</t>
  </si>
  <si>
    <t>G-363</t>
  </si>
  <si>
    <t>Bostitch</t>
  </si>
  <si>
    <t>G-367</t>
  </si>
  <si>
    <t>Butaca de espera en tela color gris</t>
  </si>
  <si>
    <t>G-368</t>
  </si>
  <si>
    <t>G-369</t>
  </si>
  <si>
    <t>Archivo de cuatro gavetas color gris</t>
  </si>
  <si>
    <t>Segundo cubículo ofic.</t>
  </si>
  <si>
    <t>G-370</t>
  </si>
  <si>
    <t>Superchef</t>
  </si>
  <si>
    <t>G-371</t>
  </si>
  <si>
    <t>Cortina verticales color marrón</t>
  </si>
  <si>
    <t>90ancho X 59 largo</t>
  </si>
  <si>
    <t>3er. Cubículo oficina</t>
  </si>
  <si>
    <t>G-372</t>
  </si>
  <si>
    <t>G-373</t>
  </si>
  <si>
    <t>G-374</t>
  </si>
  <si>
    <t>Mesa circular para 10 personas, en metal</t>
  </si>
  <si>
    <t>G-375</t>
  </si>
  <si>
    <t>Silla de espera tapizada, color negro</t>
  </si>
  <si>
    <t>G-376</t>
  </si>
  <si>
    <t>G-377</t>
  </si>
  <si>
    <t>G-378</t>
  </si>
  <si>
    <t>G-380</t>
  </si>
  <si>
    <t>Silla secretarial color gris</t>
  </si>
  <si>
    <t>G-381</t>
  </si>
  <si>
    <t>90L X 59 ancho</t>
  </si>
  <si>
    <t>G-382</t>
  </si>
  <si>
    <t>Ibico</t>
  </si>
  <si>
    <t>Kombo</t>
  </si>
  <si>
    <t>RK00064P (OHD0477)</t>
  </si>
  <si>
    <t>G-383</t>
  </si>
  <si>
    <t>Caja de Seguridad</t>
  </si>
  <si>
    <t>Continental</t>
  </si>
  <si>
    <t>FDG-A 1/J 63</t>
  </si>
  <si>
    <t>Ferretería Popular</t>
  </si>
  <si>
    <t>G-387</t>
  </si>
  <si>
    <t>Silla para visita, color negro tapizado en tela 0391</t>
  </si>
  <si>
    <t>G-388</t>
  </si>
  <si>
    <t>Silla para visita, color negro tapizado en tela</t>
  </si>
  <si>
    <t>G-389</t>
  </si>
  <si>
    <t>90L X 54 ancho</t>
  </si>
  <si>
    <t>G-390</t>
  </si>
  <si>
    <t>G-391</t>
  </si>
  <si>
    <t>Nevera 10 pies</t>
  </si>
  <si>
    <t>General Eletric</t>
  </si>
  <si>
    <t>TA10ZBEM/LEM</t>
  </si>
  <si>
    <t>Comercial Suaca, C, por A.</t>
  </si>
  <si>
    <t>Orden Compra</t>
  </si>
  <si>
    <t>Barahona</t>
  </si>
  <si>
    <t>G-392</t>
  </si>
  <si>
    <t>Microonda</t>
  </si>
  <si>
    <t>Gold Star</t>
  </si>
  <si>
    <t>Molina &amp; Cia, C. por A.</t>
  </si>
  <si>
    <t>G-393</t>
  </si>
  <si>
    <t>Bebedero</t>
  </si>
  <si>
    <t>WBF-710</t>
  </si>
  <si>
    <t>G-394</t>
  </si>
  <si>
    <t>Archivo de 4 gavetas en melanina, color haya</t>
  </si>
  <si>
    <t>G-395</t>
  </si>
  <si>
    <t>Mesa Escritorio (Retorno) en melanina color haya</t>
  </si>
  <si>
    <t>G-396</t>
  </si>
  <si>
    <t>Archivo contra incendio de 4 gavetas</t>
  </si>
  <si>
    <t>Orden de Compra</t>
  </si>
  <si>
    <t>Usuario Miosotis C.</t>
  </si>
  <si>
    <t>G-397</t>
  </si>
  <si>
    <t>Armario en melanine color gris</t>
  </si>
  <si>
    <t>G-398</t>
  </si>
  <si>
    <t>Sillon ejecutivo en piel negro (Almacen)</t>
  </si>
  <si>
    <t>Gte. de Salud  y Riesgo Laboral, 6to. Piso</t>
  </si>
  <si>
    <t>G-400</t>
  </si>
  <si>
    <t>Modulo de 2 gavetas color negro</t>
  </si>
  <si>
    <t>Onesto</t>
  </si>
  <si>
    <t>G-403</t>
  </si>
  <si>
    <t>Silla de espera en fibra de bidrio color negro</t>
  </si>
  <si>
    <t>Salvador Demallistre</t>
  </si>
  <si>
    <t>Usuario: Jinette Bretón</t>
  </si>
  <si>
    <t>G-407</t>
  </si>
  <si>
    <t>Escritorio en estructura metal color negro y tope en melanina color haya</t>
  </si>
  <si>
    <t>28 X 48"</t>
  </si>
  <si>
    <t>G-408</t>
  </si>
  <si>
    <t>G-409</t>
  </si>
  <si>
    <t>Laterales color haya</t>
  </si>
  <si>
    <t>Deshumidificador</t>
  </si>
  <si>
    <t>MOSUA</t>
  </si>
  <si>
    <t>RAE-711</t>
  </si>
  <si>
    <t>Mosua Trading C X A</t>
  </si>
  <si>
    <t>G-410</t>
  </si>
  <si>
    <t>G-413</t>
  </si>
  <si>
    <t>Mueble en caoba 3 puertas (14 x 53 x 36)</t>
  </si>
  <si>
    <t>Anny Bautista y/o Talleres Bautista</t>
  </si>
  <si>
    <t>G-414</t>
  </si>
  <si>
    <t>Mueble en caoba 3 puertas (13 x 47 x 36)</t>
  </si>
  <si>
    <t>G-415</t>
  </si>
  <si>
    <t>Mueble en caoba 2 puertas (14 x 34 x 36)</t>
  </si>
  <si>
    <t>G-416</t>
  </si>
  <si>
    <t>Mesa Rect. Ref. T259-1 WRUOUTH IRON</t>
  </si>
  <si>
    <t>Descansa en RTVD</t>
  </si>
  <si>
    <t>La Nacional Home Gallery</t>
  </si>
  <si>
    <t>FC-001439</t>
  </si>
  <si>
    <t>Salón de reuniones CNSS (al lado de legal)</t>
  </si>
  <si>
    <t>G-417</t>
  </si>
  <si>
    <t>Sofa 2 OPIUM T/BOLTAFLEX SPALMATURA</t>
  </si>
  <si>
    <t>G-418</t>
  </si>
  <si>
    <t>Butaca OPIUM T/BOLT SPALMATURA</t>
  </si>
  <si>
    <t>G-419</t>
  </si>
  <si>
    <t>Lateral Modular Negro/Haya 19x36</t>
  </si>
  <si>
    <t>G-420</t>
  </si>
  <si>
    <t>Grabador</t>
  </si>
  <si>
    <t>GE</t>
  </si>
  <si>
    <t>3-5383A</t>
  </si>
  <si>
    <t>G-421</t>
  </si>
  <si>
    <t>Gaveta de Tela - Negra</t>
  </si>
  <si>
    <t>G-422</t>
  </si>
  <si>
    <t>Credenza Harmony</t>
  </si>
  <si>
    <t>G-423</t>
  </si>
  <si>
    <t>Extensión derecha para escritorio Harmony</t>
  </si>
  <si>
    <t>G-424</t>
  </si>
  <si>
    <t>Sistema Reclinable Neumático</t>
  </si>
  <si>
    <t>G-425</t>
  </si>
  <si>
    <t>G-426</t>
  </si>
  <si>
    <t>G-427</t>
  </si>
  <si>
    <t>Módulo de metal de 3 gvtas con ruedas color aluminio</t>
  </si>
  <si>
    <t>G-428</t>
  </si>
  <si>
    <t>Extensión Derecha p/Escritorio Harmony</t>
  </si>
  <si>
    <t>G-429</t>
  </si>
  <si>
    <t>G-430</t>
  </si>
  <si>
    <t>G-431</t>
  </si>
  <si>
    <t>Mesa de centro tope rectangular doble</t>
  </si>
  <si>
    <t>G-432</t>
  </si>
  <si>
    <t>4900-B</t>
  </si>
  <si>
    <t>G-433</t>
  </si>
  <si>
    <t>Micro Escritorio Jazz p/PC teclado</t>
  </si>
  <si>
    <t>G-434</t>
  </si>
  <si>
    <t>Abanico 16" de Pared</t>
  </si>
  <si>
    <t>Ferretería La Innovación</t>
  </si>
  <si>
    <t>Cocina 7mo. piso</t>
  </si>
  <si>
    <t>G-435</t>
  </si>
  <si>
    <t>G-436</t>
  </si>
  <si>
    <t>26x65</t>
  </si>
  <si>
    <t>D' Colores Toldos</t>
  </si>
  <si>
    <t>G-437</t>
  </si>
  <si>
    <t>Escalera Extensible, Fibra 24</t>
  </si>
  <si>
    <t>Werne</t>
  </si>
  <si>
    <t>D-6024-2</t>
  </si>
  <si>
    <t>G-438</t>
  </si>
  <si>
    <t>Inversor 3.6 Kilos, Baterías e Instalación</t>
  </si>
  <si>
    <t>Trace</t>
  </si>
  <si>
    <t>G16805139</t>
  </si>
  <si>
    <t>Trace Internacional, C. por A.</t>
  </si>
  <si>
    <t>Cocina C.M.S.P.M</t>
  </si>
  <si>
    <t>G-439</t>
  </si>
  <si>
    <t>Aire Acondicionado 5 Toneladas Inst. Incluida</t>
  </si>
  <si>
    <t>Goodman</t>
  </si>
  <si>
    <t>Split</t>
  </si>
  <si>
    <t>Refritecnica, C. por A.</t>
  </si>
  <si>
    <t>602-603</t>
  </si>
  <si>
    <t>G-440</t>
  </si>
  <si>
    <t>PC430</t>
  </si>
  <si>
    <t>RTP41545</t>
  </si>
  <si>
    <t>De León &amp; Asociados</t>
  </si>
  <si>
    <t>G-441</t>
  </si>
  <si>
    <t>Escritorio Color Negro, Base Metal Tope Melanina</t>
  </si>
  <si>
    <t>28 x 50 x 30</t>
  </si>
  <si>
    <t>G-442</t>
  </si>
  <si>
    <t>Modulo de 3 Gavetas, Color Negro</t>
  </si>
  <si>
    <t>G-443</t>
  </si>
  <si>
    <t>Archivo 4 Gavetas</t>
  </si>
  <si>
    <t>G-444</t>
  </si>
  <si>
    <t>Sillon Ejecutivo Tapizado, Color Negro</t>
  </si>
  <si>
    <t>G-445</t>
  </si>
  <si>
    <t>Cortina Vertical</t>
  </si>
  <si>
    <t>64 x 52</t>
  </si>
  <si>
    <t>Deco Americana</t>
  </si>
  <si>
    <t>G-446</t>
  </si>
  <si>
    <t>G-447</t>
  </si>
  <si>
    <t>Trameria de 6 pies con 5 paneles de 13 X 45 color crema</t>
  </si>
  <si>
    <t>Distribuidora  Metalica</t>
  </si>
  <si>
    <t>G-448</t>
  </si>
  <si>
    <t>Trameria de 8 pies con 7 paneles de 13 X 45 color crema</t>
  </si>
  <si>
    <t>G-449</t>
  </si>
  <si>
    <t>Trameria de 8 pies con 6 paneles de 13 X 45 color crema</t>
  </si>
  <si>
    <t>G-450</t>
  </si>
  <si>
    <t>G-452</t>
  </si>
  <si>
    <t>Set de silla para visita de 4 personas, plastico color negro</t>
  </si>
  <si>
    <t>Omar Muebles</t>
  </si>
  <si>
    <t>G-454</t>
  </si>
  <si>
    <t>Set de silla para visita de 3 personas, plastico color negro</t>
  </si>
  <si>
    <t>G-455</t>
  </si>
  <si>
    <t>Archivo modular de 3 gavetas con ruedas color plateado</t>
  </si>
  <si>
    <t>G-456</t>
  </si>
  <si>
    <t>Archivo modular de 2 gavetas con ruedas color plateado</t>
  </si>
  <si>
    <t>G-457</t>
  </si>
  <si>
    <t>G-458</t>
  </si>
  <si>
    <t>G-459</t>
  </si>
  <si>
    <t>Escritorio modular metal  con tope color haya</t>
  </si>
  <si>
    <t>Kass</t>
  </si>
  <si>
    <t>28 X 60</t>
  </si>
  <si>
    <t>Sala de evaluación y calilficación</t>
  </si>
  <si>
    <t>G-460</t>
  </si>
  <si>
    <t xml:space="preserve">Retorno en estructura metalica de 2 gavetas en metal, tope color haya </t>
  </si>
  <si>
    <t>18 X 39</t>
  </si>
  <si>
    <t>G-461</t>
  </si>
  <si>
    <t>Panel para estaciones, en ela azul, bordes gris.</t>
  </si>
  <si>
    <t xml:space="preserve">60 x 60 </t>
  </si>
  <si>
    <t>G-462</t>
  </si>
  <si>
    <t>1.50MTS x 60 pulgada</t>
  </si>
  <si>
    <t>G-463</t>
  </si>
  <si>
    <t>Conexion de un panel a pared de concreto</t>
  </si>
  <si>
    <t>G-464</t>
  </si>
  <si>
    <t>Modular de terminación para estaciones color gris</t>
  </si>
  <si>
    <t>1.50 mts de altura</t>
  </si>
  <si>
    <t>G-465</t>
  </si>
  <si>
    <t xml:space="preserve">Trituradora de papel  </t>
  </si>
  <si>
    <t>HSM</t>
  </si>
  <si>
    <t>104-2</t>
  </si>
  <si>
    <t>Mundo Oficina, C. Por.A.</t>
  </si>
  <si>
    <t>Ofic. Adm. 7mo piso</t>
  </si>
  <si>
    <t>G-466</t>
  </si>
  <si>
    <t>Destroyit</t>
  </si>
  <si>
    <t>G-467</t>
  </si>
  <si>
    <t>Televisor</t>
  </si>
  <si>
    <t>Panasonic 20"</t>
  </si>
  <si>
    <t>MQ7160819</t>
  </si>
  <si>
    <t>Molina</t>
  </si>
  <si>
    <t>G-468</t>
  </si>
  <si>
    <t>Radio cassette CD</t>
  </si>
  <si>
    <t>Daewoo</t>
  </si>
  <si>
    <t>G-469</t>
  </si>
  <si>
    <t>Cafetera</t>
  </si>
  <si>
    <t>Cuisinart</t>
  </si>
  <si>
    <t>Cocina CMR-Santiago</t>
  </si>
  <si>
    <t>G-470</t>
  </si>
  <si>
    <t>Extractor</t>
  </si>
  <si>
    <t>Waring</t>
  </si>
  <si>
    <t>G-471</t>
  </si>
  <si>
    <t>Licuadora</t>
  </si>
  <si>
    <t>KitchenAid</t>
  </si>
  <si>
    <t>Cocina 6to. Piso</t>
  </si>
  <si>
    <t>G-472</t>
  </si>
  <si>
    <t>Procesador de vegetales</t>
  </si>
  <si>
    <t>Cuisin Art</t>
  </si>
  <si>
    <t>G-473</t>
  </si>
  <si>
    <t>Trameria de 8 pies de alto con 7 paneles 13" X 45" C/Crema</t>
  </si>
  <si>
    <t>Muebles Metalicos R &amp; B, C. X. A.</t>
  </si>
  <si>
    <t>G-474</t>
  </si>
  <si>
    <t>Trameria de 8 pies de alto con 5 paneles 13" X 45" C/Crema</t>
  </si>
  <si>
    <t>G-475</t>
  </si>
  <si>
    <t>Televisor audiovox</t>
  </si>
  <si>
    <t>LCD</t>
  </si>
  <si>
    <t>FPE1906DV</t>
  </si>
  <si>
    <t>Ferreteria Americana, C. Por A</t>
  </si>
  <si>
    <t>03-08/433595</t>
  </si>
  <si>
    <t>Sala de espera R.P. y O.A.I</t>
  </si>
  <si>
    <t>G-478</t>
  </si>
  <si>
    <t>Horno electrico inoxidable</t>
  </si>
  <si>
    <t>TEKA</t>
  </si>
  <si>
    <t>HA-850</t>
  </si>
  <si>
    <t>G-479</t>
  </si>
  <si>
    <t>Estufa empostrada inoxidable</t>
  </si>
  <si>
    <t>G-480</t>
  </si>
  <si>
    <t>G-481</t>
  </si>
  <si>
    <t>Sandwichera</t>
  </si>
  <si>
    <t>GR-1</t>
  </si>
  <si>
    <t>G-482</t>
  </si>
  <si>
    <t>CBT</t>
  </si>
  <si>
    <t>Cocina 7mo. Piso</t>
  </si>
  <si>
    <t>G-483</t>
  </si>
  <si>
    <t>Cafetera inoxidable</t>
  </si>
  <si>
    <t>G-484</t>
  </si>
  <si>
    <t xml:space="preserve">Bebedero </t>
  </si>
  <si>
    <t>Centro Cuesta  Nacional</t>
  </si>
  <si>
    <t>G-485</t>
  </si>
  <si>
    <t>G-487</t>
  </si>
  <si>
    <t>AL-1661CS</t>
  </si>
  <si>
    <t>Soluciones de Oficina Díaz, C. X.A</t>
  </si>
  <si>
    <t>Dpto. Relaciones Publicas</t>
  </si>
  <si>
    <t>G-489</t>
  </si>
  <si>
    <t xml:space="preserve">Sillas Oficina PVC/Tela W-01B, </t>
  </si>
  <si>
    <t>Tarjeta de Credito</t>
  </si>
  <si>
    <t>200/OCT147</t>
  </si>
  <si>
    <t>G-490</t>
  </si>
  <si>
    <t>G-491</t>
  </si>
  <si>
    <t>G-492</t>
  </si>
  <si>
    <t>G-493</t>
  </si>
  <si>
    <t>G-494</t>
  </si>
  <si>
    <t>G-495</t>
  </si>
  <si>
    <t>G-496</t>
  </si>
  <si>
    <t>G-497</t>
  </si>
  <si>
    <t>G-498</t>
  </si>
  <si>
    <t>G-499</t>
  </si>
  <si>
    <t>G-500</t>
  </si>
  <si>
    <t>G-501</t>
  </si>
  <si>
    <t>G-502</t>
  </si>
  <si>
    <t>G-503</t>
  </si>
  <si>
    <t>G-504</t>
  </si>
  <si>
    <t>G-505</t>
  </si>
  <si>
    <t>G-506</t>
  </si>
  <si>
    <t>G-507</t>
  </si>
  <si>
    <t>G-508</t>
  </si>
  <si>
    <t>G-509</t>
  </si>
  <si>
    <t>Mesa plegable 4 x 2</t>
  </si>
  <si>
    <t>2007OCT147</t>
  </si>
  <si>
    <t>G-510</t>
  </si>
  <si>
    <t>G-511</t>
  </si>
  <si>
    <t>G-512</t>
  </si>
  <si>
    <t>G-513</t>
  </si>
  <si>
    <t>G-514</t>
  </si>
  <si>
    <t>G-516</t>
  </si>
  <si>
    <t>G-517</t>
  </si>
  <si>
    <t>G-518</t>
  </si>
  <si>
    <t>G-519</t>
  </si>
  <si>
    <t>Grabadora</t>
  </si>
  <si>
    <t xml:space="preserve">Panasonic </t>
  </si>
  <si>
    <t>RR-US395P-S</t>
  </si>
  <si>
    <t>Americana Departamento</t>
  </si>
  <si>
    <t>G-520</t>
  </si>
  <si>
    <t>G-521</t>
  </si>
  <si>
    <t>G-522</t>
  </si>
  <si>
    <t>PriceSmart Dominicana</t>
  </si>
  <si>
    <t>Efectivo</t>
  </si>
  <si>
    <t>G-523</t>
  </si>
  <si>
    <t>Panel compact en acero inoxidable tapizado en tela 60 x 41 x 1 1/2</t>
  </si>
  <si>
    <t>Tope laminado con bumper protector y salida para cables de 60 x 24 3/4</t>
  </si>
  <si>
    <t>G-524</t>
  </si>
  <si>
    <t>Porta CPU metalico importado con ruedas color plateado</t>
  </si>
  <si>
    <t>G-525</t>
  </si>
  <si>
    <t>G-526</t>
  </si>
  <si>
    <t>G-527</t>
  </si>
  <si>
    <t xml:space="preserve">Panel  para estaciones de 1.50MTS de alto y 0.70 MTS </t>
  </si>
  <si>
    <t>G-528</t>
  </si>
  <si>
    <t>Trituradora tipo Destroyit</t>
  </si>
  <si>
    <t>Mundo Oficina</t>
  </si>
  <si>
    <t>G-529</t>
  </si>
  <si>
    <t>Escritorio Mod. Cuerpo Metal C/-Aluminio,Tope Melanina</t>
  </si>
  <si>
    <t>ZK100</t>
  </si>
  <si>
    <t>Mobiliario</t>
  </si>
  <si>
    <t xml:space="preserve">Fact. </t>
  </si>
  <si>
    <t>G-530</t>
  </si>
  <si>
    <t>Mesa de Centro Mod. Base de metal tope de Cristal 24"x43".</t>
  </si>
  <si>
    <t>MC-501</t>
  </si>
  <si>
    <t>G-531</t>
  </si>
  <si>
    <t>Sillas sin Brazos Mod. Tubo Cromado,Asiento y Respaldo Plastico,Azul</t>
  </si>
  <si>
    <t>SV-305</t>
  </si>
  <si>
    <t>G-532</t>
  </si>
  <si>
    <t>G-533</t>
  </si>
  <si>
    <t>Escritorio Mod. 1000 ,Melamina Color Grafito y Haya de 18"x40"</t>
  </si>
  <si>
    <t>G-534</t>
  </si>
  <si>
    <t>G-535</t>
  </si>
  <si>
    <t>Escritorio Mod. Cuerpo Metal C/-Aluminio,Tope Melanina 28"x48</t>
  </si>
  <si>
    <t>ZK120</t>
  </si>
  <si>
    <t>G-536</t>
  </si>
  <si>
    <t>Escritorio Mod. Cuerpo Metal C/-Aluminio ,Tope Melanina 28"x48</t>
  </si>
  <si>
    <t>G-537</t>
  </si>
  <si>
    <t>Escritorio Mod. Cuerpo Metal C/-Aluminio, Tope Melanina 28"x48</t>
  </si>
  <si>
    <t>G-538</t>
  </si>
  <si>
    <t>Gavetas para Teclado Color Gris</t>
  </si>
  <si>
    <t>G-539</t>
  </si>
  <si>
    <t>G-540</t>
  </si>
  <si>
    <t>G-541</t>
  </si>
  <si>
    <t>G-542</t>
  </si>
  <si>
    <t>Silla de Visita Mod.Tela,Tubo, C/Aluminio,Importada</t>
  </si>
  <si>
    <t>G-543</t>
  </si>
  <si>
    <t>G-544</t>
  </si>
  <si>
    <t>Comisión Médica</t>
  </si>
  <si>
    <t>G-545</t>
  </si>
  <si>
    <t>G-546</t>
  </si>
  <si>
    <t>G-547</t>
  </si>
  <si>
    <t>Silla Secretarial Mod.en Tela,Sist.Neum. Giratorio,Importada</t>
  </si>
  <si>
    <t>SS-NJ90</t>
  </si>
  <si>
    <t>G-548</t>
  </si>
  <si>
    <t>G-549</t>
  </si>
  <si>
    <t>G-550</t>
  </si>
  <si>
    <t>G-551</t>
  </si>
  <si>
    <t>G-552</t>
  </si>
  <si>
    <t>Kit de Cajero Negro Importado</t>
  </si>
  <si>
    <t>G-553</t>
  </si>
  <si>
    <t>Juego de Brazos Para Sillas Secretariales,161,070</t>
  </si>
  <si>
    <t>NJ07,NJ86,NJ90</t>
  </si>
  <si>
    <t>G-554</t>
  </si>
  <si>
    <t>G-555</t>
  </si>
  <si>
    <t>G-556</t>
  </si>
  <si>
    <t>Modulo Metalico con ruedas,3 Gavetas,Color Aluminio</t>
  </si>
  <si>
    <t>Sala de espera</t>
  </si>
  <si>
    <t>G-557</t>
  </si>
  <si>
    <t>G-558</t>
  </si>
  <si>
    <t>G-559</t>
  </si>
  <si>
    <t>G-560</t>
  </si>
  <si>
    <t>Panel Para Estacione de 1,5 mts</t>
  </si>
  <si>
    <t>Fact.</t>
  </si>
  <si>
    <t>G-561</t>
  </si>
  <si>
    <t>Conexión de un (1) Panel a Pared</t>
  </si>
  <si>
    <t>G-562</t>
  </si>
  <si>
    <t>G-563</t>
  </si>
  <si>
    <t>Escritorio Platinum Mod. Metal</t>
  </si>
  <si>
    <t>G-564</t>
  </si>
  <si>
    <t>Moldura de Union en T, para 3 pan</t>
  </si>
  <si>
    <t>G-565</t>
  </si>
  <si>
    <t>Moldura de terminacion para estacion</t>
  </si>
  <si>
    <t>G-566</t>
  </si>
  <si>
    <t>Archivo Modular Importado de 3 G.</t>
  </si>
  <si>
    <t>G-567</t>
  </si>
  <si>
    <t>Tope Circular en Melamina de 100x2,5" cms Color Haya</t>
  </si>
  <si>
    <t>(Jn-012F)</t>
  </si>
  <si>
    <t>G-568</t>
  </si>
  <si>
    <t>G-569</t>
  </si>
  <si>
    <t>G-570</t>
  </si>
  <si>
    <t>G-571</t>
  </si>
  <si>
    <t>G-572</t>
  </si>
  <si>
    <t>Base de 3 apotos para mesa de conferencia Ref. 023 metal color aluminio</t>
  </si>
  <si>
    <t>G-573</t>
  </si>
  <si>
    <t>G-574</t>
  </si>
  <si>
    <t>G-575</t>
  </si>
  <si>
    <t>G-576</t>
  </si>
  <si>
    <t>G-582</t>
  </si>
  <si>
    <t xml:space="preserve">Juego de Brazos para Sillas Secretariales Mod. </t>
  </si>
  <si>
    <t>A15</t>
  </si>
  <si>
    <t>G-583</t>
  </si>
  <si>
    <t>G-584</t>
  </si>
  <si>
    <t>G-585</t>
  </si>
  <si>
    <t>G-586</t>
  </si>
  <si>
    <t>G-587</t>
  </si>
  <si>
    <t>Gavetas para teclado Color gris</t>
  </si>
  <si>
    <t>G-588</t>
  </si>
  <si>
    <t>G-589</t>
  </si>
  <si>
    <t>G-590</t>
  </si>
  <si>
    <t>G-591</t>
  </si>
  <si>
    <t>G-592</t>
  </si>
  <si>
    <t>G-593</t>
  </si>
  <si>
    <t>G-594</t>
  </si>
  <si>
    <t>G-595</t>
  </si>
  <si>
    <t>G-596</t>
  </si>
  <si>
    <t>G-597</t>
  </si>
  <si>
    <t>Escritorio Cuerpo de metal Color Aluminio Tope de melamina color Haya, 31"x63"</t>
  </si>
  <si>
    <t>MK 160</t>
  </si>
  <si>
    <t>G-598</t>
  </si>
  <si>
    <t>G-599</t>
  </si>
  <si>
    <t>Escritorio 28"x48"x29 Base de metal color aluminio tope melanina color haya.</t>
  </si>
  <si>
    <t>EZKH</t>
  </si>
  <si>
    <t>G-600</t>
  </si>
  <si>
    <t>G-601</t>
  </si>
  <si>
    <t>G-602</t>
  </si>
  <si>
    <t>G-603</t>
  </si>
  <si>
    <t>G-604</t>
  </si>
  <si>
    <t>Enganche para Silla Visi Cora</t>
  </si>
  <si>
    <t>G-605</t>
  </si>
  <si>
    <t>G-606</t>
  </si>
  <si>
    <t>G-607</t>
  </si>
  <si>
    <t>G-608</t>
  </si>
  <si>
    <t>G-609</t>
  </si>
  <si>
    <t>G-610</t>
  </si>
  <si>
    <t>G-611</t>
  </si>
  <si>
    <t>G-612</t>
  </si>
  <si>
    <t>G-613</t>
  </si>
  <si>
    <t>G-614</t>
  </si>
  <si>
    <t>G-615</t>
  </si>
  <si>
    <t>G-616</t>
  </si>
  <si>
    <t>G-617</t>
  </si>
  <si>
    <t>G-618</t>
  </si>
  <si>
    <t>G-619</t>
  </si>
  <si>
    <t>G-620</t>
  </si>
  <si>
    <t>G-621</t>
  </si>
  <si>
    <t>G-622</t>
  </si>
  <si>
    <t>G-623</t>
  </si>
  <si>
    <t>G-624</t>
  </si>
  <si>
    <t>G-625</t>
  </si>
  <si>
    <t>G-626</t>
  </si>
  <si>
    <t>G-627</t>
  </si>
  <si>
    <t>G-628</t>
  </si>
  <si>
    <t>G-629</t>
  </si>
  <si>
    <t>G-630</t>
  </si>
  <si>
    <t>G-631</t>
  </si>
  <si>
    <t>G-632</t>
  </si>
  <si>
    <t>G-633</t>
  </si>
  <si>
    <t>G-634</t>
  </si>
  <si>
    <t>G-635</t>
  </si>
  <si>
    <t>G-636</t>
  </si>
  <si>
    <t>G-637</t>
  </si>
  <si>
    <t>G-638</t>
  </si>
  <si>
    <t>G-639</t>
  </si>
  <si>
    <t>G-640</t>
  </si>
  <si>
    <t>G-641</t>
  </si>
  <si>
    <t>G-642</t>
  </si>
  <si>
    <t>G-643</t>
  </si>
  <si>
    <t>G-644</t>
  </si>
  <si>
    <t>G-645</t>
  </si>
  <si>
    <t>G-646</t>
  </si>
  <si>
    <t>G-647</t>
  </si>
  <si>
    <t>G-648</t>
  </si>
  <si>
    <t>G-649</t>
  </si>
  <si>
    <t>G-650</t>
  </si>
  <si>
    <t>G-651</t>
  </si>
  <si>
    <t>G-652</t>
  </si>
  <si>
    <t>G-653</t>
  </si>
  <si>
    <t>G-654</t>
  </si>
  <si>
    <t>G-655</t>
  </si>
  <si>
    <t>G-656</t>
  </si>
  <si>
    <t>G-657</t>
  </si>
  <si>
    <t>G-658</t>
  </si>
  <si>
    <t>G-659</t>
  </si>
  <si>
    <t>G-660</t>
  </si>
  <si>
    <t>G-661</t>
  </si>
  <si>
    <t>G-662</t>
  </si>
  <si>
    <t>G-663</t>
  </si>
  <si>
    <t>G-664</t>
  </si>
  <si>
    <t>G-665</t>
  </si>
  <si>
    <t>G-666</t>
  </si>
  <si>
    <t>G-667</t>
  </si>
  <si>
    <t>G-668</t>
  </si>
  <si>
    <t>Transporte Mobiliario La Vega, San Pedro</t>
  </si>
  <si>
    <t>G-669</t>
  </si>
  <si>
    <t>Lateral de un paral tubo de metal Color aluminio Tope melamina Color Haya</t>
  </si>
  <si>
    <t>LUP 100 AH</t>
  </si>
  <si>
    <t>G-670</t>
  </si>
  <si>
    <t>G-671</t>
  </si>
  <si>
    <t>G-672</t>
  </si>
  <si>
    <t>G-673</t>
  </si>
  <si>
    <t>G-674</t>
  </si>
  <si>
    <t>Modulo metalico con ruedas,3Gavetas,Color Aluminio</t>
  </si>
  <si>
    <t>MMR3GAA</t>
  </si>
  <si>
    <t>G-675</t>
  </si>
  <si>
    <t>G-676</t>
  </si>
  <si>
    <t>G-677</t>
  </si>
  <si>
    <t>G-678</t>
  </si>
  <si>
    <t>G-679</t>
  </si>
  <si>
    <t>Silla de Visita Mod. En Tela Color Azul tubo de Aluminio,importada 506</t>
  </si>
  <si>
    <t>G-680</t>
  </si>
  <si>
    <t>Silla de Visita Mod. En Tela Color Azul tubo de Aluminio,importada 508</t>
  </si>
  <si>
    <t>G-682</t>
  </si>
  <si>
    <t>Silla de Visita Mod. En Tela Color Azul tubo de Aluminio,importada 536</t>
  </si>
  <si>
    <t>G-683</t>
  </si>
  <si>
    <t>Silla de Visita Mod. En Tela Color Azul tubo de Aluminio,importada 537</t>
  </si>
  <si>
    <t>G-684</t>
  </si>
  <si>
    <t>Silla de Visita Mod. En Tela Color Azul tubo de Aluminio,importada 538</t>
  </si>
  <si>
    <t>G-691</t>
  </si>
  <si>
    <t>Silla de Visita Mod. En Tela Color Azul tubo de Aluminio,importada</t>
  </si>
  <si>
    <t>G-692</t>
  </si>
  <si>
    <t>G-693</t>
  </si>
  <si>
    <t>G-694</t>
  </si>
  <si>
    <t>G-695</t>
  </si>
  <si>
    <t>Silla Secretarial Mod. En  Tela Azul,Sistema de contacto Permanente eq. Of. 504</t>
  </si>
  <si>
    <t>SS-IN31</t>
  </si>
  <si>
    <t>G-696</t>
  </si>
  <si>
    <t>Silla Secretarial Mod. En  Tela Azul,Sistema de contacto Permanente</t>
  </si>
  <si>
    <t>G-697</t>
  </si>
  <si>
    <t>G-698</t>
  </si>
  <si>
    <t>G-700</t>
  </si>
  <si>
    <t>G-703</t>
  </si>
  <si>
    <t>G-704</t>
  </si>
  <si>
    <t>G-705</t>
  </si>
  <si>
    <t>G-706</t>
  </si>
  <si>
    <t>Silla Secretarial Mod. En  Tela Azul,Sistema de contacto Permanente eq. Of. 517</t>
  </si>
  <si>
    <t>G-707</t>
  </si>
  <si>
    <t>Silla Secretarial Mod. En  Tela Azul,Sistema de contacto Permanente eq. Of. 518</t>
  </si>
  <si>
    <t>G-708</t>
  </si>
  <si>
    <t>G-709</t>
  </si>
  <si>
    <t>G-710</t>
  </si>
  <si>
    <t>G-711</t>
  </si>
  <si>
    <t>G-712</t>
  </si>
  <si>
    <t>G-713</t>
  </si>
  <si>
    <t>G-714</t>
  </si>
  <si>
    <t>G-715</t>
  </si>
  <si>
    <t>G-716</t>
  </si>
  <si>
    <t>Sillon Ejecutivo Mod. Tela Azul,Sistema Reclinable Importado</t>
  </si>
  <si>
    <t>SE-249</t>
  </si>
  <si>
    <t>G-717</t>
  </si>
  <si>
    <t>G-718</t>
  </si>
  <si>
    <t>Archivos aereos con puertas y, Color Gris y 3 color haya</t>
  </si>
  <si>
    <t>Officeline C por A.</t>
  </si>
  <si>
    <t>G-719</t>
  </si>
  <si>
    <t>121-08</t>
  </si>
  <si>
    <t>G-720</t>
  </si>
  <si>
    <t>121-09</t>
  </si>
  <si>
    <t>G-721</t>
  </si>
  <si>
    <t>121-10</t>
  </si>
  <si>
    <t>G-722</t>
  </si>
  <si>
    <t>121-11</t>
  </si>
  <si>
    <t>G-723</t>
  </si>
  <si>
    <t>Archivos aereos Abierto med. 28"</t>
  </si>
  <si>
    <t>G-724</t>
  </si>
  <si>
    <t>Archivo aereo c/puertas con llave med. 35· color gris</t>
  </si>
  <si>
    <t>G-725</t>
  </si>
  <si>
    <t>G-726</t>
  </si>
  <si>
    <t>Archivo aereo abierto med. 35</t>
  </si>
  <si>
    <t>G-727</t>
  </si>
  <si>
    <t>Archivo aereo cerrado c/llaves color haya</t>
  </si>
  <si>
    <t>G-728</t>
  </si>
  <si>
    <t>G-730</t>
  </si>
  <si>
    <t>Impresora Multinacional</t>
  </si>
  <si>
    <t>aa</t>
  </si>
  <si>
    <t>G-731</t>
  </si>
  <si>
    <t>TV  LCD PHILIPS DE 19 PULGADAS</t>
  </si>
  <si>
    <t>19PFL4322</t>
  </si>
  <si>
    <t>PLAZA LAMA</t>
  </si>
  <si>
    <t>G-732</t>
  </si>
  <si>
    <t>Carrito servidor para cocina R-856-29003</t>
  </si>
  <si>
    <t>G-733</t>
  </si>
  <si>
    <t>Cortina de aluminio perforado 2</t>
  </si>
  <si>
    <t>Emp. Suara</t>
  </si>
  <si>
    <t>G-734</t>
  </si>
  <si>
    <t>Cortina de aluminio perforado 6</t>
  </si>
  <si>
    <t>Recepción CMR-Azua</t>
  </si>
  <si>
    <t>G-735</t>
  </si>
  <si>
    <t>Cortina de aluminio perforado 5</t>
  </si>
  <si>
    <t>G-736</t>
  </si>
  <si>
    <t>Cortina de alumino perforado  5</t>
  </si>
  <si>
    <t>G-737</t>
  </si>
  <si>
    <t>Cortinas de aluminio perforado 6</t>
  </si>
  <si>
    <t>G-739</t>
  </si>
  <si>
    <t>Cortinas de aluminio perforado 3</t>
  </si>
  <si>
    <t>G-740</t>
  </si>
  <si>
    <t>Cortinas de aluminio perforado 2</t>
  </si>
  <si>
    <t>G-741</t>
  </si>
  <si>
    <t>Cortina venesiana de aluminio liso color g.</t>
  </si>
  <si>
    <t>G-742</t>
  </si>
  <si>
    <t>Lennox</t>
  </si>
  <si>
    <t>REFRICENTRO LOS PRADOS</t>
  </si>
  <si>
    <t>G-743</t>
  </si>
  <si>
    <t>Microondas GE JE-1160WD 1.1</t>
  </si>
  <si>
    <t>Centro Cuesta Nacional</t>
  </si>
  <si>
    <t>G-744</t>
  </si>
  <si>
    <t>Bebederos Marca Daiwa C/Nevera DW2-6</t>
  </si>
  <si>
    <t>Servicios Generales</t>
  </si>
  <si>
    <t>G-745</t>
  </si>
  <si>
    <t>Bebederos Marca Daiwa C/Nevera DW2-7</t>
  </si>
  <si>
    <t>G-746</t>
  </si>
  <si>
    <t>Bebederos Marca Daiwa C/Nevera DW2-8</t>
  </si>
  <si>
    <t>G-747</t>
  </si>
  <si>
    <t>Bebederos Marca Daiwa C/Nevera DW2-9</t>
  </si>
  <si>
    <t>G-748</t>
  </si>
  <si>
    <t>Bebederos Marca Daiwa C/Nevera DW2-10</t>
  </si>
  <si>
    <t>G-749</t>
  </si>
  <si>
    <t>Abanico,color estano 1 lampara de 56"</t>
  </si>
  <si>
    <t>Hunter</t>
  </si>
  <si>
    <t>Ref. 23457</t>
  </si>
  <si>
    <t>Digital T. V. C. por A.</t>
  </si>
  <si>
    <t>G-750</t>
  </si>
  <si>
    <t>G-751</t>
  </si>
  <si>
    <t>Juego de Gabinetes modular,con tope de Granito</t>
  </si>
  <si>
    <t>Rubber Wood</t>
  </si>
  <si>
    <t>J.R. Diseños (Roica)</t>
  </si>
  <si>
    <t>G-752</t>
  </si>
  <si>
    <t>Pies de Tope de marmolite</t>
  </si>
  <si>
    <t>G-753</t>
  </si>
  <si>
    <t>Mesa de Conferencia Mod. Space, Melamina Caoba y negra de 40"X 86"</t>
  </si>
  <si>
    <t>Cod. MCS220 CN</t>
  </si>
  <si>
    <t>Mobiliario S.A.</t>
  </si>
  <si>
    <t>G-754</t>
  </si>
  <si>
    <t>Basse de 4 apoyos para mesa de conferencia metal/aluminio</t>
  </si>
  <si>
    <t>Cod. BMC024 A</t>
  </si>
  <si>
    <t>G-755</t>
  </si>
  <si>
    <t>Tope Circular de melamina,de 120 x 2,5cms,color caoba (Jn-025)</t>
  </si>
  <si>
    <t>Cod. TM120 DM</t>
  </si>
  <si>
    <t>G-756</t>
  </si>
  <si>
    <t>Butaca de visitas ,tela,base fija, importada,color azul</t>
  </si>
  <si>
    <t>Cod.BV327</t>
  </si>
  <si>
    <t>G-757</t>
  </si>
  <si>
    <t>Cod. BV327</t>
  </si>
  <si>
    <t>G-758</t>
  </si>
  <si>
    <t>G-759</t>
  </si>
  <si>
    <t>G-760</t>
  </si>
  <si>
    <t>Mueble de recepción Mod.DF01,cuerpo de metalc/aluminio,topes haya,43" x 71</t>
  </si>
  <si>
    <t>G-761</t>
  </si>
  <si>
    <t>Sillas Secretarial Mod. Trans. Sist. Contacto permanente,importada</t>
  </si>
  <si>
    <t>G-762</t>
  </si>
  <si>
    <t>G-763</t>
  </si>
  <si>
    <t>G-764</t>
  </si>
  <si>
    <t>G-765</t>
  </si>
  <si>
    <t>G-766</t>
  </si>
  <si>
    <t>Nevera de Acero inoxidable, de 4,5 Cubico</t>
  </si>
  <si>
    <t>Avanti</t>
  </si>
  <si>
    <t>Molina &amp; Compañía, C.por A.</t>
  </si>
  <si>
    <t>G-767</t>
  </si>
  <si>
    <t>Cortina de aluminio Perforado tamanos 44x50/42x50/61x50/60x50x48/52</t>
  </si>
  <si>
    <t>Empresa Suara</t>
  </si>
  <si>
    <t>o/c</t>
  </si>
  <si>
    <t>G-768</t>
  </si>
  <si>
    <t>Cortina de aluminio Perforado tamanos 44x50/42x50/61x50/60x50x48/53</t>
  </si>
  <si>
    <t>G-769</t>
  </si>
  <si>
    <t>Cortina de aluminio Perforado tamanos 44x50/42x50/61x50/60x50x48/54</t>
  </si>
  <si>
    <t>G-770</t>
  </si>
  <si>
    <t>Cortina de aluminio Perforado tamanos 44x50/42x50/61x50/60x50x48/55</t>
  </si>
  <si>
    <t>G-771</t>
  </si>
  <si>
    <t>Cortina de aluminio Perforado tamanos 44x50/42x50/61x50/60x50x48/56</t>
  </si>
  <si>
    <t>G-772</t>
  </si>
  <si>
    <t>Cortina de aluminio Perforado tamanos 44x50/42x50/61x50/60x50x48/57</t>
  </si>
  <si>
    <t>G-773</t>
  </si>
  <si>
    <t>Lave, S.A.</t>
  </si>
  <si>
    <t>G-777</t>
  </si>
  <si>
    <t>Unidad acondicionador de aire de 3 toneladas de 36mil BTU</t>
  </si>
  <si>
    <t>LENNOX</t>
  </si>
  <si>
    <t>Gree Flow</t>
  </si>
  <si>
    <t>G-785</t>
  </si>
  <si>
    <t>Unidad acondicionador de aire de 2 toneladas de 24 mil BTU</t>
  </si>
  <si>
    <t>G-788</t>
  </si>
  <si>
    <t>Sillon  Ejecutivo ,tapizado en piel y base de aluminio</t>
  </si>
  <si>
    <t>MEYCY</t>
  </si>
  <si>
    <t>SKAGEN (MEYCY)</t>
  </si>
  <si>
    <t>G-789</t>
  </si>
  <si>
    <t>Sillon  Gerencial Mod. Fulkun 078, aluminio y piel neg.</t>
  </si>
  <si>
    <t>G-790</t>
  </si>
  <si>
    <t>Sillon Ejecutivo, Fulkun 069,est. Negra en telaT</t>
  </si>
  <si>
    <t>G-791</t>
  </si>
  <si>
    <t>G-792</t>
  </si>
  <si>
    <t>G-793</t>
  </si>
  <si>
    <t>Sillon Gerencial Mod. SG-068 en tela negra</t>
  </si>
  <si>
    <t>G-794</t>
  </si>
  <si>
    <t>G-795</t>
  </si>
  <si>
    <t>G-796</t>
  </si>
  <si>
    <t>G-797</t>
  </si>
  <si>
    <t>G-798</t>
  </si>
  <si>
    <t>G-799</t>
  </si>
  <si>
    <t>G-800</t>
  </si>
  <si>
    <t>G-801</t>
  </si>
  <si>
    <t>G-802</t>
  </si>
  <si>
    <t>G-803</t>
  </si>
  <si>
    <t>G-804</t>
  </si>
  <si>
    <t>G-805</t>
  </si>
  <si>
    <t>G-806</t>
  </si>
  <si>
    <t>G-807</t>
  </si>
  <si>
    <t>G-808</t>
  </si>
  <si>
    <t>G-809</t>
  </si>
  <si>
    <t>G-810</t>
  </si>
  <si>
    <t>G-811</t>
  </si>
  <si>
    <t>G-812</t>
  </si>
  <si>
    <t>Sillon Gerencial Mod. SG-098,aluminio y piel negra</t>
  </si>
  <si>
    <t>G-813</t>
  </si>
  <si>
    <t>G-814</t>
  </si>
  <si>
    <t>G-815</t>
  </si>
  <si>
    <t>G-821</t>
  </si>
  <si>
    <t>Sillon Gerencil Mod.  SG-367, en malla, fondo pvc</t>
  </si>
  <si>
    <t>G-822</t>
  </si>
  <si>
    <t>G-823</t>
  </si>
  <si>
    <t>G-824</t>
  </si>
  <si>
    <t>G-825</t>
  </si>
  <si>
    <t>G-826</t>
  </si>
  <si>
    <t>G-827</t>
  </si>
  <si>
    <t>G-828</t>
  </si>
  <si>
    <t>G-829</t>
  </si>
  <si>
    <t>G-830</t>
  </si>
  <si>
    <t>Reclasificacion cheque 12120</t>
  </si>
  <si>
    <t>Reclasificacion cheque 12065</t>
  </si>
  <si>
    <t>Abanico Techo Mod. M/B56X5 56 C56XL</t>
  </si>
  <si>
    <t>Set  Prisma de cuatro (4) personas plástico azul, estructura plateada con largo de 84".</t>
  </si>
  <si>
    <t>Televisor LCD 32"</t>
  </si>
  <si>
    <t>LC32A28L</t>
  </si>
  <si>
    <t>Ferreteria Americana</t>
  </si>
  <si>
    <t>03-04/991578</t>
  </si>
  <si>
    <t>Televisor LCD 47"</t>
  </si>
  <si>
    <t>LG</t>
  </si>
  <si>
    <t>M/47LG30R-MA</t>
  </si>
  <si>
    <t>Escritorio Mod. ZK-100 en metal c/aluminio, tope cristal de 18" x 40</t>
  </si>
  <si>
    <t>Mobiliario, S. A.</t>
  </si>
  <si>
    <t>Silla secretarial Mod. SS-NJ90, en tela, sist. Neum. Giratorio, color negro</t>
  </si>
  <si>
    <t>Estante con puertas baja mod. 2000, en melamina c/haya, de 16" x 36" x 60".</t>
  </si>
  <si>
    <t>Sillón ejecutivo, mod. SE-ME01, en tela, sistema reclinable, importado., color negro.</t>
  </si>
  <si>
    <t>Impresora Multifuncional, mod. WC 4250, 45 PPM</t>
  </si>
  <si>
    <t>MAC581348</t>
  </si>
  <si>
    <t>Productive Business Solutions</t>
  </si>
  <si>
    <t>Medidor de cableado Tester Kit Back Box LAN Solution Network</t>
  </si>
  <si>
    <t>06-027462</t>
  </si>
  <si>
    <t>Escritorio Model ZK-160, en metal c/aluminio, tope melamina c/haya de 28" x 63"</t>
  </si>
  <si>
    <t>Mobiliario, S.A.</t>
  </si>
  <si>
    <t>Escritorio mod. ZK-120, en metal c/aluminio, tope melamina c/haya  de 28" x 48"</t>
  </si>
  <si>
    <t>Módulo metálico con ruedas, 3 gavetas, color aluminio.</t>
  </si>
  <si>
    <t>Lateral de un paral tubo metal c/alumninio, tope  c/haya, 18" x 40"</t>
  </si>
  <si>
    <t>Romaca, S.A</t>
  </si>
  <si>
    <t>4009Y50413</t>
  </si>
  <si>
    <t>Romaca, S. A.</t>
  </si>
  <si>
    <t>Teléfono  mod. INAL KX-TG3612LAB, Ref. 3177608</t>
  </si>
  <si>
    <t>303-021000136</t>
  </si>
  <si>
    <t>Abanico de pedestal, marca Daiwa</t>
  </si>
  <si>
    <t>303-031000361</t>
  </si>
  <si>
    <t>Armario con puerta tipo persiana, pana, visión crema 72 import.</t>
  </si>
  <si>
    <t>Actualidades VD, S. A.</t>
  </si>
  <si>
    <t>Butacas de visita,  Mod. Vicenza, en tela, estructura de metal c/aluminio.</t>
  </si>
  <si>
    <t>A010010011500000743</t>
  </si>
  <si>
    <t>Archivos laterales metálicos Master, 4 gavetas, de 52" alto x 36" ancho x 19" de fondo, color gris</t>
  </si>
  <si>
    <t>Sillón Gerencial Tela Azul con Brazos ajustables Victoria</t>
  </si>
  <si>
    <t>M. Omar</t>
  </si>
  <si>
    <t>A010010021500003210</t>
  </si>
  <si>
    <t>Escritorio en Metal c/Aluminio, Tope Melamina c/Haya de 28"x55"</t>
  </si>
  <si>
    <t>A010010011500000746</t>
  </si>
  <si>
    <t>Modulo metalico con Ruedas, C/Aluminio, 3 Gav. C/Llave.</t>
  </si>
  <si>
    <t>Sillón Gerencial Tela Azul Marino,Sist.Reclinable,Importado</t>
  </si>
  <si>
    <t>Locker Metálico, 4 puertas, 24"x20"x72" para ropa colgada, color Gris.</t>
  </si>
  <si>
    <t>Escritorio Enchapado en Madera de Caoba, de 1.0 x 2.0m</t>
  </si>
  <si>
    <t>A010010011500000750</t>
  </si>
  <si>
    <t>Lateral Enchapado en Madera de Caoba, patas tubular,0.5x1.0m</t>
  </si>
  <si>
    <t>Modulo Enchapado en Madera de Caoba, 3 Gav,con llavin</t>
  </si>
  <si>
    <t>Credenza Enchapado en Madera c/Caoba, de 0.450x1.80mt</t>
  </si>
  <si>
    <t>Horno Microondas</t>
  </si>
  <si>
    <t>centro Cuesta Nacional</t>
  </si>
  <si>
    <t>A070010021500002628</t>
  </si>
  <si>
    <t>Deshumificador Nedoca</t>
  </si>
  <si>
    <t>C101058150208806100182</t>
  </si>
  <si>
    <t>Distribuidora Corripio</t>
  </si>
  <si>
    <t>A010010011500010169</t>
  </si>
  <si>
    <t>Nevera Ejecutiva WW</t>
  </si>
  <si>
    <t>W/WRDWN123MBJW</t>
  </si>
  <si>
    <t>A010030021500005693</t>
  </si>
  <si>
    <t>Nevera Kenmore Blanca 18' 46-62972</t>
  </si>
  <si>
    <t>F. Americana</t>
  </si>
  <si>
    <t>A010110161501000011</t>
  </si>
  <si>
    <t>Buiteco</t>
  </si>
  <si>
    <t>A010010010100000043</t>
  </si>
  <si>
    <t xml:space="preserve">Tostadora </t>
  </si>
  <si>
    <t>Centro Cuesta</t>
  </si>
  <si>
    <t>A070010021500003056</t>
  </si>
  <si>
    <t>Licuadora Oster</t>
  </si>
  <si>
    <t>Mesa para impresora 7mo piso</t>
  </si>
  <si>
    <t>A040030021500003415</t>
  </si>
  <si>
    <t>Mesa para impresora Subgerente</t>
  </si>
  <si>
    <t>A040030021500003427</t>
  </si>
  <si>
    <t>Sillón Ejecutivo marca Verdi, Re. 22194</t>
  </si>
  <si>
    <t>Omar</t>
  </si>
  <si>
    <t>A010010021500003645</t>
  </si>
  <si>
    <t>Archivo Modular Importado de 3gav.</t>
  </si>
  <si>
    <t>Meca Electric Industrial</t>
  </si>
  <si>
    <t>A010010011500000827</t>
  </si>
  <si>
    <t>Escritorio Mod. ZK en metal c/aluminio tope melamina haya, de 70x120 cms</t>
  </si>
  <si>
    <t>B &amp; H Mobiliario</t>
  </si>
  <si>
    <t>A010010011500000831</t>
  </si>
  <si>
    <t>Lateral de un paral, pata c/aluminio, tope c/haya de 2.5x50x100 cms</t>
  </si>
  <si>
    <t>Modulo metalico leader, con ruedas, c/aluminio, 2 Gav. Archivo con llave.</t>
  </si>
  <si>
    <t>MICROONDAS PANASONIC</t>
  </si>
  <si>
    <t>A040030021500003544</t>
  </si>
  <si>
    <t>Equipos y Mobiliarios de Oficina CONTRALORIA</t>
  </si>
  <si>
    <t>CUISINART</t>
  </si>
  <si>
    <t>CBT-500</t>
  </si>
  <si>
    <t>Estante con puertas Baja en Melamina Haya de 40x90x150 cms</t>
  </si>
  <si>
    <t>A010010011500000904</t>
  </si>
  <si>
    <t>Credenza en Melamina C/Haya de 40x150 cms P/Corredizas</t>
  </si>
  <si>
    <t>Tope en Melamina, sin pasa cables, de 180x80x2.5 cms C/Haya</t>
  </si>
  <si>
    <t>JN-012</t>
  </si>
  <si>
    <t>Pata Tubular Aluminio, Importada</t>
  </si>
  <si>
    <t>Credenza en Melamina C/Caoba de 40x180 cms P/Corredizas</t>
  </si>
  <si>
    <t>A010010011500000905</t>
  </si>
  <si>
    <t>Archivo lateral IBK-11 4 GAV. B-09 Silver</t>
  </si>
  <si>
    <t>Improficinas</t>
  </si>
  <si>
    <t>A010020011500002009</t>
  </si>
  <si>
    <t>Set de silla p/visita plástica TCV434P-4S azul</t>
  </si>
  <si>
    <t>Silla p/visita c/b apilable H101A2/TCV434A</t>
  </si>
  <si>
    <t>Sillón ejecutivo AZ01 azul</t>
  </si>
  <si>
    <t>Mesa de conferencia redonda de 48, base y tope haya</t>
  </si>
  <si>
    <t>S-R122</t>
  </si>
  <si>
    <t>A010010021500004162</t>
  </si>
  <si>
    <t>LB-LWB1.5</t>
  </si>
  <si>
    <t>A010030021500008291</t>
  </si>
  <si>
    <t>Abanico de piso</t>
  </si>
  <si>
    <t>Lasco</t>
  </si>
  <si>
    <t>A010030031500007946</t>
  </si>
  <si>
    <t>Nevera</t>
  </si>
  <si>
    <t>C402SLC</t>
  </si>
  <si>
    <t>A010030031500007842</t>
  </si>
  <si>
    <t>A010040021500000605</t>
  </si>
  <si>
    <t>Silla plástica s/brazos</t>
  </si>
  <si>
    <t>A040030021500004185</t>
  </si>
  <si>
    <t>Archivo Lateral 4 Gavetas, color haya, med:16 x 36 x 53.5</t>
  </si>
  <si>
    <t>SW-04/129</t>
  </si>
  <si>
    <t>A010010021500004214</t>
  </si>
  <si>
    <t>Armario 4 puertas superiores c/cristal, Mel, Caoba, 40 x 90 x 185H</t>
  </si>
  <si>
    <t>A010010011500000925</t>
  </si>
  <si>
    <t xml:space="preserve">Microondas </t>
  </si>
  <si>
    <t>NN-ST770S</t>
  </si>
  <si>
    <t>6AN1230069</t>
  </si>
  <si>
    <t>A040030021500004528</t>
  </si>
  <si>
    <t>Sub-total Año 2012</t>
  </si>
  <si>
    <t>Tostadora</t>
  </si>
  <si>
    <t>A070010021500004380</t>
  </si>
  <si>
    <t xml:space="preserve">Aspiradora </t>
  </si>
  <si>
    <t>RIDGIT</t>
  </si>
  <si>
    <t>WET/DRY</t>
  </si>
  <si>
    <t>A010090031500001978</t>
  </si>
  <si>
    <t>Televisor LCD 42"</t>
  </si>
  <si>
    <t>M/42CS560</t>
  </si>
  <si>
    <t>A010030031500009119</t>
  </si>
  <si>
    <t>Pódium acrílico transparente de 3/4 tamaño 44"x24"x18" en vynil adhesivo.</t>
  </si>
  <si>
    <t>NG MEDIA</t>
  </si>
  <si>
    <t>A010010011500001527</t>
  </si>
  <si>
    <t>AREA COMUN 6TO PISO</t>
  </si>
  <si>
    <t>Archivo de alta densidad de 3 carros (2 sencillos, 1 doble),36x96x84</t>
  </si>
  <si>
    <t>MERCURY</t>
  </si>
  <si>
    <t>MUEBLES OMAR</t>
  </si>
  <si>
    <t>A020010021500001793</t>
  </si>
  <si>
    <t>Pedestal tipo F P/Impresora IR-1730/1750</t>
  </si>
  <si>
    <t>IR-1730/1750</t>
  </si>
  <si>
    <t>A060010011500001260</t>
  </si>
  <si>
    <t>CMN-I</t>
  </si>
  <si>
    <t>CMN-II</t>
  </si>
  <si>
    <t>A060010011500001298</t>
  </si>
  <si>
    <t>CONTABILIDAD</t>
  </si>
  <si>
    <t>GERENCIA GRAL CNSS</t>
  </si>
  <si>
    <t>Lectores biométricos para el control de asistencias</t>
  </si>
  <si>
    <t>JEWARETECH SOLUTIONS, S.A</t>
  </si>
  <si>
    <t>A010010011500000006</t>
  </si>
  <si>
    <t>A020010021500001914</t>
  </si>
  <si>
    <t>COUNTER MOD. LUIGGY 83X58 MADRA LAMINADA</t>
  </si>
  <si>
    <t>MOD. LUIGGY</t>
  </si>
  <si>
    <t>ARTI OFIC, SRL</t>
  </si>
  <si>
    <t>A010010011500000036</t>
  </si>
  <si>
    <t>LOBBY 1ER PISO CNSS</t>
  </si>
  <si>
    <t>COUNTER MOD. LUIGGY 54X35 MADRA LAMINADA</t>
  </si>
  <si>
    <t>RECEPCION 6TA CNSS</t>
  </si>
  <si>
    <t>RECEPCION 7MA CNSS</t>
  </si>
  <si>
    <t>ANEXO COUNTER MOD. LUIGGY 54X35 MADRA LAMINADA</t>
  </si>
  <si>
    <t>A010010011500000056</t>
  </si>
  <si>
    <t>ANEXO COUNTER MOD. LUIGGY 83X58 MADRA LAMINADA</t>
  </si>
  <si>
    <t>MÓDULO METÁLICO DE 3 GAVETAS CON RUEDAS COLOR ALUMINIO</t>
  </si>
  <si>
    <t>B &amp; H MOBILIARIO</t>
  </si>
  <si>
    <t>A010010011500001069</t>
  </si>
  <si>
    <t>15-1</t>
  </si>
  <si>
    <t>Compras Enero 2014</t>
  </si>
  <si>
    <t>ESTATACION DE TRABAJO PARA OFICINA</t>
  </si>
  <si>
    <t>A010010011500001082</t>
  </si>
  <si>
    <t>110-1</t>
  </si>
  <si>
    <t>GABINETE COLGANTE EN MELAMINA, C/HAYA</t>
  </si>
  <si>
    <t>Compras Febrero 2014</t>
  </si>
  <si>
    <t>ESTANTE CON PUERTAS BAJA 2000 EN MELAMINA, C/HAYA DE 40X90X185</t>
  </si>
  <si>
    <t>A010010011500001119</t>
  </si>
  <si>
    <t>1079-1</t>
  </si>
  <si>
    <t>Compras Julio 2014</t>
  </si>
  <si>
    <t>GABINETE COLGANTE 80</t>
  </si>
  <si>
    <t>LAVE, S.A.</t>
  </si>
  <si>
    <t>A010010011500000968</t>
  </si>
  <si>
    <t>990-1</t>
  </si>
  <si>
    <t>Compras Agosto 2014</t>
  </si>
  <si>
    <t>TRAMOS METALICOS (BANDEJAS) 12" X 36"  PARA ALMACEN DE ARCHIVOS VILLA CONSUELO</t>
  </si>
  <si>
    <t>MARCOS METALICOS, S.R.L</t>
  </si>
  <si>
    <t>A010010011500000391</t>
  </si>
  <si>
    <t>1861-1</t>
  </si>
  <si>
    <t>DESHUMIFICADOR</t>
  </si>
  <si>
    <t>AMANA</t>
  </si>
  <si>
    <t>A120100627</t>
  </si>
  <si>
    <t>A010010011500000629</t>
  </si>
  <si>
    <t>1961-1</t>
  </si>
  <si>
    <t>ARCHIVOS DE ALTA DENSIDAD 36*96*84 CON SET DE CARROS EXTRAS</t>
  </si>
  <si>
    <t>DE 3CARROS, 2 SENCILLOS Y 1 DOBLE</t>
  </si>
  <si>
    <t>A020010021500002449</t>
  </si>
  <si>
    <t>1735-1</t>
  </si>
  <si>
    <t>SILLON EJECUTIVO DE PIEL SINTETICA NEGRO Y BASE CROMADA</t>
  </si>
  <si>
    <t>BOSS</t>
  </si>
  <si>
    <t xml:space="preserve"> B-8101 </t>
  </si>
  <si>
    <t>SILLON GERENCIAL EN TELA NEGRA BRAZOS AJUSTABLES</t>
  </si>
  <si>
    <t>VICTORIA</t>
  </si>
  <si>
    <t>Inventario de Activos Fijos (Equipos de Producción)</t>
  </si>
  <si>
    <t>Costo de Tasación</t>
  </si>
  <si>
    <t xml:space="preserve">Ubicación </t>
  </si>
  <si>
    <t>P-002</t>
  </si>
  <si>
    <t>Transfer Automático 500 KVA</t>
  </si>
  <si>
    <t>S &amp; K</t>
  </si>
  <si>
    <t>SKSB6780</t>
  </si>
  <si>
    <t>Gobierno Central</t>
  </si>
  <si>
    <t>121-01</t>
  </si>
  <si>
    <t>P-003</t>
  </si>
  <si>
    <t>Transfer Automático 60 Amp.</t>
  </si>
  <si>
    <t>SKSB9425</t>
  </si>
  <si>
    <t>P-004</t>
  </si>
  <si>
    <t>Transformador 500 Amp. 60 Hz (Trifásico)</t>
  </si>
  <si>
    <t>P-005</t>
  </si>
  <si>
    <t>Interruptor 1600 Amp 60 Hz</t>
  </si>
  <si>
    <t>Electro</t>
  </si>
  <si>
    <t>EEB3415</t>
  </si>
  <si>
    <t>P-006</t>
  </si>
  <si>
    <t>Aire Acondicionado de 3 toneladas</t>
  </si>
  <si>
    <t>Lenox</t>
  </si>
  <si>
    <t>Refricentro Los Prados</t>
  </si>
  <si>
    <t>P-007</t>
  </si>
  <si>
    <t>Aire Acondicionado Split de 12,000 BTU</t>
  </si>
  <si>
    <t>P-008</t>
  </si>
  <si>
    <t>121-02</t>
  </si>
  <si>
    <t>P-009</t>
  </si>
  <si>
    <t>Planta Eléctrica 56 KW; 1800 RPM, Gas-oil</t>
  </si>
  <si>
    <t>Dale</t>
  </si>
  <si>
    <t>AP/070/DP</t>
  </si>
  <si>
    <t>LJ35009U673979A</t>
  </si>
  <si>
    <t>Caseta Trasera</t>
  </si>
  <si>
    <t>P-010</t>
  </si>
  <si>
    <t>Bomba Sumergible 1 1/2 HP</t>
  </si>
  <si>
    <t>P-011</t>
  </si>
  <si>
    <t>Bomba de Agua</t>
  </si>
  <si>
    <t>US Motors</t>
  </si>
  <si>
    <t>ID C549AU09U198R061F</t>
  </si>
  <si>
    <t>P-012</t>
  </si>
  <si>
    <t>Baldor</t>
  </si>
  <si>
    <t>JMN3312T</t>
  </si>
  <si>
    <t>P-013</t>
  </si>
  <si>
    <t xml:space="preserve">Aire Acondicionado </t>
  </si>
  <si>
    <t>Confor Star</t>
  </si>
  <si>
    <t>BAR36-1</t>
  </si>
  <si>
    <t>Oficina OAI</t>
  </si>
  <si>
    <t>P-014</t>
  </si>
  <si>
    <t xml:space="preserve">Aire Acondicionado 22,000 BTU </t>
  </si>
  <si>
    <t>Mitsawa</t>
  </si>
  <si>
    <t>KF65GW</t>
  </si>
  <si>
    <t>CWW-1015636</t>
  </si>
  <si>
    <t>Contraloria General del CNSS</t>
  </si>
  <si>
    <t>P-015</t>
  </si>
  <si>
    <t xml:space="preserve">Aire Acondicionado 12,000 BTU </t>
  </si>
  <si>
    <t>Asistente Pte. CNSS</t>
  </si>
  <si>
    <t>P-016</t>
  </si>
  <si>
    <t>Aire Acondicionado (Gerenca Técnica)</t>
  </si>
  <si>
    <t>AFAIR101360-A</t>
  </si>
  <si>
    <t>4605A11306</t>
  </si>
  <si>
    <t>Victor García Aire Acondicionado, C. por A.</t>
  </si>
  <si>
    <t>Area Técnica</t>
  </si>
  <si>
    <t>P-017</t>
  </si>
  <si>
    <t>Aire Acondicionado (Subgerencia, Rec. Hum., Serv. Grales.)</t>
  </si>
  <si>
    <t>Warning</t>
  </si>
  <si>
    <t>TCU3-030A</t>
  </si>
  <si>
    <t>ACX9904-23477</t>
  </si>
  <si>
    <t>6to piso</t>
  </si>
  <si>
    <t>P-018</t>
  </si>
  <si>
    <t>Aire Acondicionado (Area Financiera)</t>
  </si>
  <si>
    <t>CS060-1</t>
  </si>
  <si>
    <t>Serie 172516483060700000</t>
  </si>
  <si>
    <t>P-019</t>
  </si>
  <si>
    <t xml:space="preserve">Aire Acond. 5 Tonel. </t>
  </si>
  <si>
    <t>BAR60-1</t>
  </si>
  <si>
    <t>Oficinas 7mo piso, Salon Pequeño</t>
  </si>
  <si>
    <t>P-020</t>
  </si>
  <si>
    <t>Aire Acondicionado Ductiable 4 Toneladas (Salón CNSS)</t>
  </si>
  <si>
    <t>BAR48-1</t>
  </si>
  <si>
    <t>P-021</t>
  </si>
  <si>
    <t>P-022</t>
  </si>
  <si>
    <t>Aire Acond. 5 Tonel. (Oficina Gerente General)</t>
  </si>
  <si>
    <t>Classic</t>
  </si>
  <si>
    <t>P-023</t>
  </si>
  <si>
    <t>P-024</t>
  </si>
  <si>
    <t>P-025</t>
  </si>
  <si>
    <t>Bomba de agua ladrona 0.5 hp</t>
  </si>
  <si>
    <t>Sótano/Serv. Generales</t>
  </si>
  <si>
    <t>Pend.</t>
  </si>
  <si>
    <t>Inversor 2.4 kilos</t>
  </si>
  <si>
    <t>Exide Internacional, C. por A.</t>
  </si>
  <si>
    <t>P-026</t>
  </si>
  <si>
    <t>P-027</t>
  </si>
  <si>
    <t>P-028</t>
  </si>
  <si>
    <t>Planta Eléctrica SDMO V500UC2 II</t>
  </si>
  <si>
    <t>V500UC2</t>
  </si>
  <si>
    <t>V500UC208001705</t>
  </si>
  <si>
    <t>Electron</t>
  </si>
  <si>
    <t>P-029</t>
  </si>
  <si>
    <t>P-030</t>
  </si>
  <si>
    <t>UNIDAD CONDENSADORA DE 5 TONELADAS MARCA TGM</t>
  </si>
  <si>
    <t>TGM</t>
  </si>
  <si>
    <t>INGENIERIA Y SERVICIOS SRL</t>
  </si>
  <si>
    <t>A010010011500000047</t>
  </si>
  <si>
    <t>Inventario de Activos Fijos (Equipos de Transporte, Tracción y Elevación)</t>
  </si>
  <si>
    <t>F-001</t>
  </si>
  <si>
    <t>Toyota</t>
  </si>
  <si>
    <t>JTEBY17R308000373</t>
  </si>
  <si>
    <t>Delta Comercial, C. por A.</t>
  </si>
  <si>
    <t>121-03</t>
  </si>
  <si>
    <t>F-003</t>
  </si>
  <si>
    <t>JTEBU17R10K017512</t>
  </si>
  <si>
    <t>F-004</t>
  </si>
  <si>
    <t>MROFR22GX00643110</t>
  </si>
  <si>
    <t>F-005</t>
  </si>
  <si>
    <t>MROFR22G500527152</t>
  </si>
  <si>
    <t>KONE</t>
  </si>
  <si>
    <t>MONOSPACE</t>
  </si>
  <si>
    <t>Servicios e Instalaciones Técnicas, S.A.</t>
  </si>
  <si>
    <t>Contraloria</t>
  </si>
  <si>
    <t>Totales</t>
  </si>
  <si>
    <t>Jeep Hyundai Tucson Blanca</t>
  </si>
  <si>
    <t>HYINDAI</t>
  </si>
  <si>
    <t>TUCSON 2014</t>
  </si>
  <si>
    <t>KMHJT81EBEU824682</t>
  </si>
  <si>
    <t>CERESA MOTORS C. POR A.</t>
  </si>
  <si>
    <t>A010010011500000001</t>
  </si>
  <si>
    <t>KMHJT81EBEU824748</t>
  </si>
  <si>
    <t>A010010011500000002</t>
  </si>
  <si>
    <t>Inventario de Activos Fijos (Equipos Médicos)</t>
  </si>
  <si>
    <t>Set de Otorrinolaringologia</t>
  </si>
  <si>
    <t>Farmaconal</t>
  </si>
  <si>
    <t>121-05</t>
  </si>
  <si>
    <t>Silla de Ruedas Estándar</t>
  </si>
  <si>
    <t>R-G918</t>
  </si>
  <si>
    <t>Negatoscopio de 1 Pantalla</t>
  </si>
  <si>
    <t>R-29601</t>
  </si>
  <si>
    <t>Esfignomanometro Riester de Pared  Redondo</t>
  </si>
  <si>
    <t>Big Ben</t>
  </si>
  <si>
    <t>Camillas de 3 Posiciones</t>
  </si>
  <si>
    <t>R-1033-0092</t>
  </si>
  <si>
    <t>Banquillo Negro</t>
  </si>
  <si>
    <t>R-1841-2/1089-CP</t>
  </si>
  <si>
    <t xml:space="preserve">GONIOMETROS Set de 3 Gonometros Plasticos de 7" ,8" y 12", con Lectura de 0 grados. </t>
  </si>
  <si>
    <t>Rehaworld</t>
  </si>
  <si>
    <t>A-360 grados</t>
  </si>
  <si>
    <t>Medi -Equipos S.A.</t>
  </si>
  <si>
    <t xml:space="preserve">de 7" ,8" y 12", con Lectura de 0 grados. </t>
  </si>
  <si>
    <t>Regla Digitometrica.</t>
  </si>
  <si>
    <t>Medi-Equipos S. A.</t>
  </si>
  <si>
    <t>tope superior acojinado y acolchado (Importado)</t>
  </si>
  <si>
    <t>WINCO</t>
  </si>
  <si>
    <t>GEN 1027033</t>
  </si>
  <si>
    <t>Medi-Equipos S.A.</t>
  </si>
  <si>
    <t xml:space="preserve">SET DE EVALUACION DE MANO: set de evaluación e mano </t>
  </si>
  <si>
    <t>Medi Equipos, S. A.</t>
  </si>
  <si>
    <t>Medi Equipos, S.A.</t>
  </si>
  <si>
    <t>7" 8" Y 12" CON LECTURA DE 0" A 360"</t>
  </si>
  <si>
    <t>REHAWORL</t>
  </si>
  <si>
    <t>Banquillos  color negro, R-1841-2/1089-CP</t>
  </si>
  <si>
    <t>Fármaco Quimica Nacional</t>
  </si>
  <si>
    <t>Esfigmomanometro Riester de pared Big Ben Redondo 1459</t>
  </si>
  <si>
    <t>Equipo de Diagnostico ECON. R-2050</t>
  </si>
  <si>
    <t>Silla de rueda Standar Mod. R-G918</t>
  </si>
  <si>
    <t>Camillas 3 Psiciones R-1033-0092</t>
  </si>
  <si>
    <t>Negatoscopio de 1 pantalla R-29601</t>
  </si>
  <si>
    <t xml:space="preserve">Balanza de adulto con tallimento de 350Lbs.  </t>
  </si>
  <si>
    <t>Detecto 439</t>
  </si>
  <si>
    <t>Serviamed Dominicana, S.A.</t>
  </si>
  <si>
    <t>Balanza de adulto con tallimento Lbs/Kg</t>
  </si>
  <si>
    <t>Camilla Exame 3pc/gav.V</t>
  </si>
  <si>
    <t>Serviamed Dom.</t>
  </si>
  <si>
    <t>Estetoscopio Adulto Negro</t>
  </si>
  <si>
    <t>Balanza Adulto Lbs/Kg</t>
  </si>
  <si>
    <t>Camilla de examen articulada de 3 posiciones, color beige</t>
  </si>
  <si>
    <t>Medi-Equipos, SRL</t>
  </si>
  <si>
    <t>A010010011500000396</t>
  </si>
  <si>
    <t>Esfino Aneroide pared</t>
  </si>
  <si>
    <t>Serviamed Dominicana, S. A.</t>
  </si>
  <si>
    <t>A010010011500002897</t>
  </si>
  <si>
    <t>Banquito de pie p/subir camilla</t>
  </si>
  <si>
    <t>Balanza adulto con talleme</t>
  </si>
  <si>
    <t>Negastocopio de 1 cuerpo</t>
  </si>
  <si>
    <t>Inventario de Activos Fijos (Equipos Varios)</t>
  </si>
  <si>
    <t>CMN0000001</t>
  </si>
  <si>
    <t xml:space="preserve">CAMARA DIGITAL </t>
  </si>
  <si>
    <t>NIKON</t>
  </si>
  <si>
    <t>D7000</t>
  </si>
  <si>
    <t>2P TECHNOLOGY</t>
  </si>
  <si>
    <t>A010010011500000550</t>
  </si>
  <si>
    <t>473-1</t>
  </si>
  <si>
    <t>Total</t>
  </si>
  <si>
    <t>Inventario de Activos Fijos (Equipos de Comunicación)</t>
  </si>
  <si>
    <t>Codigo</t>
  </si>
  <si>
    <t>Descripcion</t>
  </si>
  <si>
    <t>Fehca de Adquisición</t>
  </si>
  <si>
    <t>Tipo de doc.</t>
  </si>
  <si>
    <t>No. Doc.</t>
  </si>
  <si>
    <t xml:space="preserve"> Cuenta de Activo</t>
  </si>
  <si>
    <t>Años de vida</t>
  </si>
  <si>
    <t>Sem. Delgate inc. 21 Microfonos</t>
  </si>
  <si>
    <t>Abastos y Sevicios</t>
  </si>
  <si>
    <t>121-06</t>
  </si>
  <si>
    <t>CR1000 RACK MOUNT CONTROLLER</t>
  </si>
  <si>
    <t>CR 1000</t>
  </si>
  <si>
    <t>THEPT-A POINT VANTAGE</t>
  </si>
  <si>
    <t>THEPT-A</t>
  </si>
  <si>
    <t>C5V-W LCD 5,5 COLOR SCREEM</t>
  </si>
  <si>
    <t>C5V-W</t>
  </si>
  <si>
    <t>FFSP320C5-WH LCD SOFTLINE</t>
  </si>
  <si>
    <t>DS3BP SCENEPOINT DIMMER</t>
  </si>
  <si>
    <t xml:space="preserve">FP3SPX FACEPLATE 3 GANG </t>
  </si>
  <si>
    <t>Q-ETS3</t>
  </si>
  <si>
    <t>TRANST. 24VAC/830MA VANTAGE</t>
  </si>
  <si>
    <t>V-PWR24</t>
  </si>
  <si>
    <t>REV3 1HET/1COOL SINGLE VANTAGE</t>
  </si>
  <si>
    <t>V-SST-1-R3</t>
  </si>
  <si>
    <t>VDA-0143 16AWG CABLE VANTAGE</t>
  </si>
  <si>
    <t>LCD320C5 WALL BOX</t>
  </si>
  <si>
    <t>VHA-0656</t>
  </si>
  <si>
    <t>SURFCEILING IR MOTION SENSOR</t>
  </si>
  <si>
    <t>VHS/DVD/CD COMBO</t>
  </si>
  <si>
    <t>SLV-D370P</t>
  </si>
  <si>
    <t>MIXER/AMPLIFICADOR SONY STEREO</t>
  </si>
  <si>
    <t>SRP-X500P</t>
  </si>
  <si>
    <t>MP-HTS5100 POWERCENTER MONSTER</t>
  </si>
  <si>
    <t xml:space="preserve">PERSONAL NETWORK CAMARA </t>
  </si>
  <si>
    <t>PROGRAMA ADQUIRIDO EN REEMPLAZO DE UN NSR-25 RECORDER DISC</t>
  </si>
  <si>
    <t>Sub-Total 2008</t>
  </si>
  <si>
    <t>Micrófono ATW-701/L Audio Technica</t>
  </si>
  <si>
    <t>Danilo Music</t>
  </si>
  <si>
    <t>FACT.</t>
  </si>
  <si>
    <t>Equipos de Comunicación CGCNSS</t>
  </si>
  <si>
    <t>Microfono Sennheiser Delegate</t>
  </si>
  <si>
    <t>Sennheiser</t>
  </si>
  <si>
    <t>8200 DC</t>
  </si>
  <si>
    <t>121-6</t>
  </si>
  <si>
    <t>RECEPTOR INALAMBRICO P/ CONTROL REMOTO</t>
  </si>
  <si>
    <t>ID CORPS, SRL</t>
  </si>
  <si>
    <t>A010010011500001086</t>
  </si>
  <si>
    <t>CONTRO REMOTO DE 2 BOTONES</t>
  </si>
  <si>
    <t>BARRERAS VEHICULAR, CON SATA DE 4MTS</t>
  </si>
  <si>
    <t>VERG</t>
  </si>
  <si>
    <t>A010010011500001087</t>
  </si>
  <si>
    <t>18528/529/555</t>
  </si>
  <si>
    <t>DVR BAREBONE GADSPOT 8CH</t>
  </si>
  <si>
    <t>GADSPOT</t>
  </si>
  <si>
    <t>GS2011V</t>
  </si>
  <si>
    <t>A030010011500006935</t>
  </si>
  <si>
    <t>DVR BAREBONE GADSPOT 4CH</t>
  </si>
  <si>
    <t>CAMARA SEGURIDAD GADSPOT</t>
  </si>
  <si>
    <t>GS5003/B</t>
  </si>
  <si>
    <t>Sub-Total 2013</t>
  </si>
  <si>
    <t>GS7000/W</t>
  </si>
  <si>
    <t>A030010011500007288</t>
  </si>
  <si>
    <t>Sub-Total 2010</t>
  </si>
  <si>
    <t>Sub-Total 2012</t>
  </si>
  <si>
    <t>Sub-Total 2014</t>
  </si>
  <si>
    <t>Bomba para lavado a presión B&amp;D 3000PSI  DPD3000 Ref. 313100</t>
  </si>
  <si>
    <t>05-21/669408</t>
  </si>
  <si>
    <t>122-02</t>
  </si>
  <si>
    <t>Edificio Torre de la Seguridad Social, Presidente Antonio Guzmán Fernández, Av. Tiradentes No. 33, Naco</t>
  </si>
  <si>
    <t>Vida Util</t>
  </si>
  <si>
    <t>Monto Sujeto a Depreciación</t>
  </si>
  <si>
    <t>Adiciones y Mejoras Capitalizadas</t>
  </si>
  <si>
    <t>Capitalización Intereses e Inicial</t>
  </si>
  <si>
    <t>Deducción Ascensores y Equipos</t>
  </si>
  <si>
    <t>Valor Tasación</t>
  </si>
  <si>
    <t>Inventario de Activos Fijos (Edificaciones)</t>
  </si>
  <si>
    <t>Licencias Informáticas</t>
  </si>
  <si>
    <t>Programas de Computación</t>
  </si>
  <si>
    <t>Obras de Arte y Elementos Coleccionables</t>
  </si>
  <si>
    <t>Edificios</t>
  </si>
  <si>
    <t>Terrenos</t>
  </si>
  <si>
    <t>Equipos Varios</t>
  </si>
  <si>
    <t>Equipos y Muebles para Oficinas</t>
  </si>
  <si>
    <t>Equipos de Comunicación y Señalamiento</t>
  </si>
  <si>
    <t>Equipos Médicos, Sanitarios y Veterinarios</t>
  </si>
  <si>
    <t xml:space="preserve">Equipos de Computación </t>
  </si>
  <si>
    <t>Equipos de Transporte, Tracción y Elevación</t>
  </si>
  <si>
    <t>Maquinarias y Equipos de Producción</t>
  </si>
  <si>
    <t>Valor en Libros Ajustado</t>
  </si>
  <si>
    <t>Monto</t>
  </si>
  <si>
    <t>Equipos de Educativos</t>
  </si>
  <si>
    <t>Inventario de Activos Fijos (Obras de Arte y Elementos Coleccionables)</t>
  </si>
  <si>
    <t>Autor</t>
  </si>
  <si>
    <t>Tamaño</t>
  </si>
  <si>
    <t>Cuenta</t>
  </si>
  <si>
    <t>Valor RD$</t>
  </si>
  <si>
    <t xml:space="preserve">Cheque </t>
  </si>
  <si>
    <t>Ubicación: Salon Reuniones del CNSS</t>
  </si>
  <si>
    <t xml:space="preserve">Catedral </t>
  </si>
  <si>
    <t>Cestero</t>
  </si>
  <si>
    <t>30 X 40</t>
  </si>
  <si>
    <t>125-06</t>
  </si>
  <si>
    <t>Marina - Lazala</t>
  </si>
  <si>
    <t>Lazala</t>
  </si>
  <si>
    <t>40 X 50</t>
  </si>
  <si>
    <t>Ubicación: Pasillo del 7mo. Piso</t>
  </si>
  <si>
    <t>Miguel Gomez</t>
  </si>
  <si>
    <t>Archivo Of. Adm 7mo piso</t>
  </si>
  <si>
    <t>Gorda</t>
  </si>
  <si>
    <t>Terrero</t>
  </si>
  <si>
    <t>24 X 30</t>
  </si>
  <si>
    <t>Ofic. Adm. 7mo.piso</t>
  </si>
  <si>
    <t>Peces</t>
  </si>
  <si>
    <t>Polanco</t>
  </si>
  <si>
    <t>Pasillo al lado salón B, 7mo.piso</t>
  </si>
  <si>
    <t>Ubicación: Sala del CNSS</t>
  </si>
  <si>
    <t>Rio con Vacas</t>
  </si>
  <si>
    <t>Carlos Grullón</t>
  </si>
  <si>
    <t>Salita espera 7mo. Piso</t>
  </si>
  <si>
    <t>Espanta Pajaros</t>
  </si>
  <si>
    <t>Lestra</t>
  </si>
  <si>
    <t>Ubicación: Asistente Juridico y Secr.del Gerente General</t>
  </si>
  <si>
    <t>Framboyán</t>
  </si>
  <si>
    <t>Ureña</t>
  </si>
  <si>
    <t>Ubicación: Sub-Gerente General</t>
  </si>
  <si>
    <t>Coche</t>
  </si>
  <si>
    <t>40 x 50</t>
  </si>
  <si>
    <t>Ubicación: Salon de Reuniones del CNSS</t>
  </si>
  <si>
    <t>Besaca</t>
  </si>
  <si>
    <t>48 X 78</t>
  </si>
  <si>
    <t>Salón grande</t>
  </si>
  <si>
    <t>Morena con Cayenas</t>
  </si>
  <si>
    <t>Bonet Camps</t>
  </si>
  <si>
    <t>Bebe cuna</t>
  </si>
  <si>
    <t>Paniagua</t>
  </si>
  <si>
    <t>Archivo ofic. Adm. 7mo. Piso</t>
  </si>
  <si>
    <t>Mujer Pensando</t>
  </si>
  <si>
    <t>Ulloa</t>
  </si>
  <si>
    <t>Gerencia General</t>
  </si>
  <si>
    <t>Hombre de Campo</t>
  </si>
  <si>
    <t>Dionisio Blanco</t>
  </si>
  <si>
    <t>El regalo dos caras</t>
  </si>
  <si>
    <t>Serrat</t>
  </si>
  <si>
    <t>Ubicación: Asistente del Gerente General</t>
  </si>
  <si>
    <t>Palomas</t>
  </si>
  <si>
    <t>Muzan Payán</t>
  </si>
  <si>
    <t>Franboyan</t>
  </si>
  <si>
    <t>Archivo oficina</t>
  </si>
  <si>
    <t>Ubicación: Recepcion del 7mo. Piso</t>
  </si>
  <si>
    <t>Jarrones</t>
  </si>
  <si>
    <t>Mary Bueno</t>
  </si>
  <si>
    <t>Mujer Jardín</t>
  </si>
  <si>
    <t>Ubicación: Archivo y correspondencia</t>
  </si>
  <si>
    <t>Morena</t>
  </si>
  <si>
    <t>Ubicación: Despacho del Presidente del CNSS</t>
  </si>
  <si>
    <t>Paisaje</t>
  </si>
  <si>
    <t>Hugo Mata</t>
  </si>
  <si>
    <t>24 x 30</t>
  </si>
  <si>
    <t>Bueyes</t>
  </si>
  <si>
    <t>Guillo Pérez</t>
  </si>
  <si>
    <t>Ubicación: Oficina 7mo. Piso</t>
  </si>
  <si>
    <t>Marina</t>
  </si>
  <si>
    <t>Severo</t>
  </si>
  <si>
    <t>30 x 40</t>
  </si>
  <si>
    <t>Ofic. Presidencia del CNSS</t>
  </si>
  <si>
    <t xml:space="preserve">Guitarra </t>
  </si>
  <si>
    <t>Obras de Arte y Elementos Coleccionables Contraloria General CNSS</t>
  </si>
  <si>
    <t>Nota:</t>
  </si>
  <si>
    <t>No Aplica Depreciación (Fuente: Metodología para el Levantamiento de Bienes del Estado Dominicano, SIGEF, Mayo 2004)</t>
  </si>
  <si>
    <t>Carrier</t>
  </si>
  <si>
    <t xml:space="preserve">Split de pared Consola mod. 42LFC01230 </t>
  </si>
  <si>
    <t>ZK-160</t>
  </si>
  <si>
    <t>ZK-120</t>
  </si>
  <si>
    <t>mod. WC 4250</t>
  </si>
  <si>
    <t>SE-ME01</t>
  </si>
  <si>
    <t xml:space="preserve"> SS-NJ90</t>
  </si>
  <si>
    <t>ZK-100</t>
  </si>
  <si>
    <t>M/B56X5 56 C56XL</t>
  </si>
  <si>
    <t xml:space="preserve">SG-068 </t>
  </si>
  <si>
    <t xml:space="preserve">SG-098 </t>
  </si>
  <si>
    <t>SG-367</t>
  </si>
  <si>
    <t>Fulkun 069</t>
  </si>
  <si>
    <t>Fulkun 078</t>
  </si>
  <si>
    <t>Trans. Sist. Contacto permanente</t>
  </si>
  <si>
    <t>Sub-total Año 2015</t>
  </si>
  <si>
    <t>Total Acumulado 2015</t>
  </si>
  <si>
    <t>IMPRESORA MULTIFUNCIONAL WORKCENTRE 4260</t>
  </si>
  <si>
    <t>WC4260</t>
  </si>
  <si>
    <t>MAE960978</t>
  </si>
  <si>
    <t>PRODUCTIVE BUSINESS SOLUTION</t>
  </si>
  <si>
    <t>A010010011500000194</t>
  </si>
  <si>
    <t>Compras Enero 2015</t>
  </si>
  <si>
    <t>A010120021500002471</t>
  </si>
  <si>
    <t xml:space="preserve">CARRO PLATAFORMA PLEGABLE </t>
  </si>
  <si>
    <t>PL300</t>
  </si>
  <si>
    <t>ESCALERA T/TIJERA FIBRA</t>
  </si>
  <si>
    <t>SCANNER FUJITSU IX500</t>
  </si>
  <si>
    <t xml:space="preserve">FUJITSU </t>
  </si>
  <si>
    <t>IX500</t>
  </si>
  <si>
    <t>A0VB196786</t>
  </si>
  <si>
    <t>A010010011500002027</t>
  </si>
  <si>
    <t>Compras Febrero 2015</t>
  </si>
  <si>
    <t>SERVIDOR RACK MOUNTABLE E5-2640</t>
  </si>
  <si>
    <t>E5-2640</t>
  </si>
  <si>
    <t>H&amp;H SOLUTIONS S.R.L</t>
  </si>
  <si>
    <t>A010010011500000110</t>
  </si>
  <si>
    <t>CPU DELL OPTIPLEX 9020</t>
  </si>
  <si>
    <t>OPTIPLEX 9020</t>
  </si>
  <si>
    <t>32P6942</t>
  </si>
  <si>
    <t>A030010011500008003</t>
  </si>
  <si>
    <t>32Q1942</t>
  </si>
  <si>
    <t>32Q2942</t>
  </si>
  <si>
    <t>32Q3942</t>
  </si>
  <si>
    <t>32Q4942</t>
  </si>
  <si>
    <t>32Q5942</t>
  </si>
  <si>
    <t>32Q6942</t>
  </si>
  <si>
    <t>32R0942</t>
  </si>
  <si>
    <t>32R1942</t>
  </si>
  <si>
    <t>32R2942</t>
  </si>
  <si>
    <t>32R3942</t>
  </si>
  <si>
    <t>32R4942</t>
  </si>
  <si>
    <t>32R5942</t>
  </si>
  <si>
    <t>32R6942</t>
  </si>
  <si>
    <t>32S0942</t>
  </si>
  <si>
    <t>MONITOR DELL E1914HC</t>
  </si>
  <si>
    <t>E1914HC</t>
  </si>
  <si>
    <t>CN04FF476418045P0UNB</t>
  </si>
  <si>
    <t>CN04FF47641804630EXU</t>
  </si>
  <si>
    <t>CN04FF47641804630F0U</t>
  </si>
  <si>
    <t>CN04FF47641804740RYB</t>
  </si>
  <si>
    <t>CN04FF47641804740TBB</t>
  </si>
  <si>
    <t>CN04FF476418049718EI</t>
  </si>
  <si>
    <t>CN04FF476418049719UI</t>
  </si>
  <si>
    <t>CN0HDNH97287245TA27M</t>
  </si>
  <si>
    <t>CN0HDNH97287245TE59M</t>
  </si>
  <si>
    <t>CN0HDNH97287248MA9TM</t>
  </si>
  <si>
    <t>CN0HDNH97287248MAEJM</t>
  </si>
  <si>
    <t>CN0HDNH97287248MCHJM</t>
  </si>
  <si>
    <t>CN0HDNH97287248QCYGM</t>
  </si>
  <si>
    <t>CN0HDNH97287248QDCHM</t>
  </si>
  <si>
    <t>CN0HDNH97287248QDRYM</t>
  </si>
  <si>
    <t>SCANNER FUJITSU</t>
  </si>
  <si>
    <t>FI-7160</t>
  </si>
  <si>
    <t>A36D151202</t>
  </si>
  <si>
    <t>Compras Marzo 2015</t>
  </si>
  <si>
    <t>SILLON EJECUTIVO WAU 609 MALLA NEGA B/AJUS</t>
  </si>
  <si>
    <t>WAU</t>
  </si>
  <si>
    <t>A010010011500001269</t>
  </si>
  <si>
    <t>MOBILIARIO READECUACION UAI</t>
  </si>
  <si>
    <t>A010010011500001275</t>
  </si>
  <si>
    <t xml:space="preserve">BOMBA FPS CENTRIFUGA </t>
  </si>
  <si>
    <t>A010090031500002681</t>
  </si>
  <si>
    <t>LAPTOP HP PROBOOK 650</t>
  </si>
  <si>
    <t>5CG4474BDX</t>
  </si>
  <si>
    <t>5CG4474BXN</t>
  </si>
  <si>
    <t>5CG4474BZR</t>
  </si>
  <si>
    <t>5CG44748VS</t>
  </si>
  <si>
    <t>5CG44749T0</t>
  </si>
  <si>
    <t>5CG44749W5</t>
  </si>
  <si>
    <t>5CG44749YC</t>
  </si>
  <si>
    <t>5CG447496Q</t>
  </si>
  <si>
    <t>COMPU-OFFICE DOMINICANA</t>
  </si>
  <si>
    <t>PROBOOK 650</t>
  </si>
  <si>
    <t>A010010011500002124</t>
  </si>
  <si>
    <t>Compras Abril 2015</t>
  </si>
  <si>
    <t>SYMANTEC BACKUP</t>
  </si>
  <si>
    <t>SYMANTEC</t>
  </si>
  <si>
    <t>APPLIANCE</t>
  </si>
  <si>
    <t>MULTICOMPUTOS</t>
  </si>
  <si>
    <t>A030010011500000703</t>
  </si>
  <si>
    <t>A010120011500001821</t>
  </si>
  <si>
    <t>IMPRESORA HP OFFICEJET</t>
  </si>
  <si>
    <t>A030010011500008063</t>
  </si>
  <si>
    <t>CN4CNE31C1</t>
  </si>
  <si>
    <t>Fiesta Gaga</t>
  </si>
  <si>
    <t>Ilunca Morel</t>
  </si>
  <si>
    <t>Aire Acondicionado de 12000 BTU</t>
  </si>
  <si>
    <t>A010010011500000258</t>
  </si>
  <si>
    <t>A010010011500000289</t>
  </si>
  <si>
    <t>Aire Acondicionado 3 Toneladas inform</t>
  </si>
  <si>
    <t>Westinghouse</t>
  </si>
  <si>
    <t>Mini Split</t>
  </si>
  <si>
    <t>Aire Acondicionado de 18000 BTU GG</t>
  </si>
  <si>
    <t>Aire UD.A/A Carrier Split de pared de 18,000 BTU 208/230V 1PH/60HZ compuesta por : Condensador MOD:38LFC018 Consola MOD:42LFC01830</t>
  </si>
  <si>
    <t>Aire UD.A/A Carrier Split de pared de 36,000 BTU 208/230V 1PH/60HZ compuesta por: Condesador MOD:38CKC036-X-3 Consola MOD40QNC036</t>
  </si>
  <si>
    <t>Aire UD. A/A Carrier Split de pared  de 12,000 BTU  208/230V  1PH/60HZ, compuesta por:  Consola mod. 42LFC01230 y Condensador mod. 38LFC01230</t>
  </si>
  <si>
    <t>Aire UD. A/A Carrier Split de pared  de 12,000 BTU  208/230V  1PH/60HZ, compuesta por:  Consola mod. 42LFC01230 y Condensador mod. 38LFC01231</t>
  </si>
  <si>
    <t>Aire UD. A/A Carrier Split de pared  de 12,000 BTU  208/230V  1PH/60HZ, compuesta por:  Consola mod. 42LFC01230 y Condensador mod. 38LFC01232</t>
  </si>
  <si>
    <t>Aire UD. A/A Carrier Split de pared  de 12,000 BTU  208/230V  1PH/60HZ, compuesta por:  Consola mod. 42LFC01230 y Condensador mod. 38LFC01233</t>
  </si>
  <si>
    <t>Aire UD. A/A Carrier Split de pared  de 12,000 BTU  208/230V  1PH/60HZ, compuesta por:  Consola mod. 42LFC01230 y Condensador mod. 38LFC01234</t>
  </si>
  <si>
    <t>Aire UD. A/A Carrier Split de pared  de 12,000 BTU  208/230V  1PH/60HZ, compuesta por:  Consola mod. 42LFC01230 y Condensador mod. 38LFC01235</t>
  </si>
  <si>
    <t>Aire UD. A/A Carrier Split de pared  de 12,000 BTU  208/230V  1PH/60HZ, compuesta por:  Consola mod. 42LFC01230 y Condensador mod. 38LFC01236</t>
  </si>
  <si>
    <t>Compra de Modulares para las oficinas del 6to piso</t>
  </si>
  <si>
    <t xml:space="preserve">Modular de union en L,  para 2 paneles, color gris  </t>
  </si>
  <si>
    <t>Resumen Inventario de Activos Fijos</t>
  </si>
  <si>
    <t>CARRO PARA ALMANCEN DE 2 RUEDAS</t>
  </si>
  <si>
    <t>CENTRAL TELEFONICA</t>
  </si>
  <si>
    <t>BUSINES EDITION 6000</t>
  </si>
  <si>
    <t>IQTEK SOLUTIONS</t>
  </si>
  <si>
    <t>CNSS-024-2015</t>
  </si>
  <si>
    <t>Sub-Total 2015</t>
  </si>
  <si>
    <t>A020020011500000266</t>
  </si>
  <si>
    <t>DIPUGLIA PC OULET</t>
  </si>
  <si>
    <t>KVM</t>
  </si>
  <si>
    <t>RACK MOUNTABLE 8 PUERTOS</t>
  </si>
  <si>
    <t>G56011OG00084</t>
  </si>
  <si>
    <t>Compras  Mayo 2015</t>
  </si>
  <si>
    <t>LAPTOP DELL LATITUDE E7450</t>
  </si>
  <si>
    <t>LATITUD E7450</t>
  </si>
  <si>
    <t>FJ55R32</t>
  </si>
  <si>
    <t>A030010011500008197</t>
  </si>
  <si>
    <t>Compras  Junio 2015</t>
  </si>
  <si>
    <t>Compras Junio 2015</t>
  </si>
  <si>
    <t xml:space="preserve">BEBEDERO DE ACERO INOX. </t>
  </si>
  <si>
    <t>FERRETERIA AMERICANA</t>
  </si>
  <si>
    <t>A010020041500003990</t>
  </si>
  <si>
    <t>WK5911BS</t>
  </si>
  <si>
    <t>Compras  Julio 2015</t>
  </si>
  <si>
    <t>CN46ECW1TX</t>
  </si>
  <si>
    <t>A030010011500008305</t>
  </si>
  <si>
    <t>100 MOBILE PRINTER</t>
  </si>
  <si>
    <t>MY4CGF143G</t>
  </si>
  <si>
    <t>A010010011500002283</t>
  </si>
  <si>
    <t>ABANICO DE PISO 20'</t>
  </si>
  <si>
    <t>A010110071500000730</t>
  </si>
  <si>
    <t>WINDMACLASK</t>
  </si>
  <si>
    <t>Compras Julio 2015</t>
  </si>
  <si>
    <t>ESCRITORIO ZK ESTRUC. C/ALUMINIO TOPE MELAM</t>
  </si>
  <si>
    <t>LATERAL DE UN PARAL PATA TOPE MELAMINA</t>
  </si>
  <si>
    <t>SILLON GERENCIAL WA96 MALLA NEGRA RECLIN</t>
  </si>
  <si>
    <t>Compras Agosto 2015</t>
  </si>
  <si>
    <t>A010010011500001369</t>
  </si>
  <si>
    <t>BEBEDERO</t>
  </si>
  <si>
    <t>WHIRLPOOL</t>
  </si>
  <si>
    <t>FERRETERIA CUESTA</t>
  </si>
  <si>
    <t>A040030021500007135</t>
  </si>
  <si>
    <t>Compras Septiembre 2015</t>
  </si>
  <si>
    <t>Compras Octubre 2015</t>
  </si>
  <si>
    <t>ESCRITORIO2000, MELAMINA HAYA 25MM 70X160</t>
  </si>
  <si>
    <t>CREDENZA 2000, MELAMINA HAYA 40X150 P/CORR</t>
  </si>
  <si>
    <t>ESCRITORIO2000, MELAMINA HAYA 25MM 70X120</t>
  </si>
  <si>
    <t>SILLON EJECUTIVOTX01 SEMIPIEL Y MALLA</t>
  </si>
  <si>
    <t>MODULO CON RUEDAS MOD. 1000 EN MELAMINA C/HAYA, 3 GAV.</t>
  </si>
  <si>
    <t>A010010011500001402</t>
  </si>
  <si>
    <t>PORTA SACOS EN METAL CRMADO</t>
  </si>
  <si>
    <t>Compras Noviembre 2015</t>
  </si>
  <si>
    <t>A010010011500001420</t>
  </si>
  <si>
    <t>HI-LUX 2008</t>
  </si>
  <si>
    <t>Camioneta doble cabina 4WD diesel, color blanco</t>
  </si>
  <si>
    <t>Jeep, color gris</t>
  </si>
  <si>
    <t>Elevador de Pasajeros. Capacidad: 8 personas</t>
  </si>
  <si>
    <t>Camioneta doble cabina 4WD diesel, color blanco (CGCNSS)</t>
  </si>
  <si>
    <t>4 RUNNER 2003</t>
  </si>
  <si>
    <t>Jeep, color azul</t>
  </si>
  <si>
    <t>4 RUNNER 2008</t>
  </si>
  <si>
    <t>Nissan</t>
  </si>
  <si>
    <t>JN1CJUD22Z0053034</t>
  </si>
  <si>
    <t>Jeep, color blanco</t>
  </si>
  <si>
    <t>Isuzu</t>
  </si>
  <si>
    <t>Trooper 2003</t>
  </si>
  <si>
    <t>Cabstar 2003</t>
  </si>
  <si>
    <t>JACUBS69G37100165</t>
  </si>
  <si>
    <t>Acumulada Diciembre 2015</t>
  </si>
  <si>
    <t>Aire Acondicionado Split de 18,000 BTU</t>
  </si>
  <si>
    <t>R-410A</t>
  </si>
  <si>
    <t>MARINO SANCHEZ</t>
  </si>
  <si>
    <t>A010010011500000087</t>
  </si>
  <si>
    <t>(Al 31 de Enero del 2016)</t>
  </si>
  <si>
    <t>Deprec. a Registrar Enero 2016</t>
  </si>
  <si>
    <t>Acumulada Enero 2016</t>
  </si>
  <si>
    <t>A040030021500007581</t>
  </si>
  <si>
    <t>MICROONDAS</t>
  </si>
  <si>
    <t>PANASONIC</t>
  </si>
  <si>
    <t>Electrodomésticos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</si>
</sst>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#"/>
    <numFmt numFmtId="165" formatCode="#,##0.00;[Red]#,##0.00"/>
    <numFmt numFmtId="166" formatCode="#\ ?/2"/>
    <numFmt numFmtId="167" formatCode="#,##0.000_);[Red]\(#,##0.000\)"/>
    <numFmt numFmtId="168" formatCode="0_);[Red]\(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b/>
      <sz val="10"/>
      <name val="Arial"/>
      <family val="2"/>
    </font>
    <font>
      <sz val="12"/>
      <color theme="1"/>
      <name val="Times New Roman"/>
      <family val="1"/>
    </font>
    <font>
      <sz val="12"/>
      <name val="Arial"/>
      <family val="2"/>
    </font>
    <font>
      <b/>
      <sz val="12"/>
      <color rgb="FFFF0000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684">
    <xf numFmtId="0" fontId="0" fillId="0" borderId="0" xfId="0"/>
    <xf numFmtId="0" fontId="4" fillId="0" borderId="0" xfId="2" applyFont="1" applyFill="1"/>
    <xf numFmtId="40" fontId="6" fillId="0" borderId="0" xfId="2" applyNumberFormat="1" applyFont="1" applyFill="1" applyAlignment="1">
      <alignment horizontal="center"/>
    </xf>
    <xf numFmtId="14" fontId="4" fillId="0" borderId="0" xfId="2" applyNumberFormat="1" applyFont="1" applyFill="1"/>
    <xf numFmtId="0" fontId="6" fillId="0" borderId="0" xfId="2" applyFont="1" applyFill="1" applyAlignment="1">
      <alignment horizontal="left"/>
    </xf>
    <xf numFmtId="40" fontId="6" fillId="0" borderId="0" xfId="2" applyNumberFormat="1" applyFont="1" applyFill="1" applyAlignment="1">
      <alignment horizontal="right"/>
    </xf>
    <xf numFmtId="40" fontId="6" fillId="0" borderId="0" xfId="2" applyNumberFormat="1" applyFont="1"/>
    <xf numFmtId="0" fontId="6" fillId="0" borderId="0" xfId="2" applyFont="1" applyFill="1"/>
    <xf numFmtId="0" fontId="7" fillId="2" borderId="1" xfId="2" applyFont="1" applyFill="1" applyBorder="1" applyAlignment="1">
      <alignment vertical="justify"/>
    </xf>
    <xf numFmtId="40" fontId="7" fillId="2" borderId="1" xfId="2" applyNumberFormat="1" applyFont="1" applyFill="1" applyBorder="1" applyAlignment="1">
      <alignment horizontal="right" vertical="justify"/>
    </xf>
    <xf numFmtId="40" fontId="7" fillId="2" borderId="1" xfId="2" applyNumberFormat="1" applyFont="1" applyFill="1" applyBorder="1" applyAlignment="1">
      <alignment vertical="justify"/>
    </xf>
    <xf numFmtId="0" fontId="7" fillId="0" borderId="0" xfId="2" applyFont="1" applyFill="1" applyAlignment="1">
      <alignment vertical="justify"/>
    </xf>
    <xf numFmtId="49" fontId="6" fillId="0" borderId="0" xfId="2" applyNumberFormat="1" applyFont="1" applyFill="1" applyAlignment="1">
      <alignment horizontal="left"/>
    </xf>
    <xf numFmtId="164" fontId="6" fillId="0" borderId="0" xfId="2" applyNumberFormat="1" applyFont="1" applyFill="1" applyAlignment="1">
      <alignment horizontal="left"/>
    </xf>
    <xf numFmtId="40" fontId="6" fillId="0" borderId="0" xfId="1" applyNumberFormat="1" applyFont="1" applyFill="1" applyAlignment="1">
      <alignment horizontal="right"/>
    </xf>
    <xf numFmtId="40" fontId="6" fillId="0" borderId="0" xfId="2" applyNumberFormat="1" applyFont="1" applyFill="1" applyAlignment="1"/>
    <xf numFmtId="1" fontId="6" fillId="0" borderId="0" xfId="2" applyNumberFormat="1" applyFont="1" applyFill="1" applyAlignment="1">
      <alignment horizontal="center"/>
    </xf>
    <xf numFmtId="40" fontId="6" fillId="3" borderId="0" xfId="1" applyNumberFormat="1" applyFont="1" applyFill="1" applyBorder="1" applyAlignment="1">
      <alignment horizontal="right"/>
    </xf>
    <xf numFmtId="40" fontId="6" fillId="3" borderId="0" xfId="2" applyNumberFormat="1" applyFont="1" applyFill="1" applyBorder="1" applyAlignment="1">
      <alignment horizontal="right"/>
    </xf>
    <xf numFmtId="14" fontId="6" fillId="0" borderId="0" xfId="2" applyNumberFormat="1" applyFont="1" applyFill="1" applyAlignment="1">
      <alignment horizontal="left"/>
    </xf>
    <xf numFmtId="1" fontId="6" fillId="0" borderId="0" xfId="2" applyNumberFormat="1" applyFont="1" applyFill="1" applyAlignment="1">
      <alignment horizontal="left"/>
    </xf>
    <xf numFmtId="40" fontId="6" fillId="5" borderId="0" xfId="2" applyNumberFormat="1" applyFont="1" applyFill="1" applyBorder="1" applyAlignment="1">
      <alignment horizontal="right"/>
    </xf>
    <xf numFmtId="49" fontId="7" fillId="0" borderId="0" xfId="2" applyNumberFormat="1" applyFont="1" applyFill="1" applyAlignment="1">
      <alignment horizontal="left"/>
    </xf>
    <xf numFmtId="0" fontId="7" fillId="0" borderId="0" xfId="2" applyFont="1" applyFill="1" applyAlignment="1">
      <alignment horizontal="left"/>
    </xf>
    <xf numFmtId="164" fontId="7" fillId="0" borderId="0" xfId="2" applyNumberFormat="1" applyFont="1" applyFill="1" applyAlignment="1">
      <alignment horizontal="left"/>
    </xf>
    <xf numFmtId="1" fontId="7" fillId="0" borderId="0" xfId="2" applyNumberFormat="1" applyFont="1" applyFill="1" applyAlignment="1">
      <alignment horizontal="left"/>
    </xf>
    <xf numFmtId="40" fontId="7" fillId="0" borderId="3" xfId="2" applyNumberFormat="1" applyFont="1" applyFill="1" applyBorder="1" applyAlignment="1">
      <alignment horizontal="right"/>
    </xf>
    <xf numFmtId="0" fontId="7" fillId="0" borderId="0" xfId="2" applyFont="1" applyFill="1"/>
    <xf numFmtId="40" fontId="7" fillId="0" borderId="0" xfId="2" applyNumberFormat="1" applyFont="1" applyFill="1" applyBorder="1" applyAlignment="1">
      <alignment horizontal="right"/>
    </xf>
    <xf numFmtId="40" fontId="7" fillId="0" borderId="5" xfId="2" applyNumberFormat="1" applyFont="1" applyFill="1" applyBorder="1" applyAlignment="1">
      <alignment horizontal="right"/>
    </xf>
    <xf numFmtId="40" fontId="6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Alignment="1">
      <alignment horizontal="center"/>
    </xf>
    <xf numFmtId="4" fontId="6" fillId="0" borderId="0" xfId="2" applyNumberFormat="1" applyFont="1" applyFill="1" applyAlignment="1">
      <alignment horizontal="right"/>
    </xf>
    <xf numFmtId="0" fontId="6" fillId="0" borderId="0" xfId="2" applyFont="1" applyFill="1" applyBorder="1"/>
    <xf numFmtId="0" fontId="6" fillId="0" borderId="0" xfId="2" applyFont="1" applyFill="1" applyAlignment="1">
      <alignment horizontal="left" wrapText="1"/>
    </xf>
    <xf numFmtId="14" fontId="6" fillId="0" borderId="0" xfId="2" applyNumberFormat="1" applyFont="1" applyFill="1" applyBorder="1" applyAlignment="1">
      <alignment horizontal="right"/>
    </xf>
    <xf numFmtId="164" fontId="6" fillId="0" borderId="0" xfId="2" applyNumberFormat="1" applyFont="1" applyFill="1" applyAlignment="1">
      <alignment horizontal="right"/>
    </xf>
    <xf numFmtId="1" fontId="6" fillId="0" borderId="0" xfId="2" applyNumberFormat="1" applyFont="1" applyFill="1" applyAlignment="1">
      <alignment horizontal="right"/>
    </xf>
    <xf numFmtId="14" fontId="6" fillId="0" borderId="0" xfId="2" applyNumberFormat="1" applyFont="1" applyFill="1"/>
    <xf numFmtId="0" fontId="4" fillId="0" borderId="0" xfId="2" applyFont="1" applyFill="1" applyAlignment="1">
      <alignment horizontal="left"/>
    </xf>
    <xf numFmtId="0" fontId="6" fillId="0" borderId="0" xfId="2" applyFont="1" applyFill="1" applyBorder="1" applyAlignment="1">
      <alignment horizontal="left"/>
    </xf>
    <xf numFmtId="49" fontId="6" fillId="0" borderId="0" xfId="2" applyNumberFormat="1" applyFont="1" applyFill="1" applyBorder="1"/>
    <xf numFmtId="0" fontId="2" fillId="0" borderId="0" xfId="2" applyFont="1" applyFill="1" applyBorder="1"/>
    <xf numFmtId="165" fontId="2" fillId="0" borderId="0" xfId="2" applyNumberFormat="1" applyFill="1" applyBorder="1"/>
    <xf numFmtId="1" fontId="6" fillId="7" borderId="0" xfId="2" applyNumberFormat="1" applyFont="1" applyFill="1" applyBorder="1" applyAlignment="1">
      <alignment horizontal="center"/>
    </xf>
    <xf numFmtId="0" fontId="6" fillId="7" borderId="0" xfId="2" applyFont="1" applyFill="1" applyBorder="1"/>
    <xf numFmtId="49" fontId="6" fillId="0" borderId="0" xfId="2" applyNumberFormat="1" applyFont="1" applyFill="1" applyBorder="1" applyAlignment="1">
      <alignment vertical="center"/>
    </xf>
    <xf numFmtId="4" fontId="2" fillId="0" borderId="0" xfId="2" applyNumberFormat="1" applyFill="1" applyBorder="1"/>
    <xf numFmtId="49" fontId="6" fillId="0" borderId="0" xfId="2" applyNumberFormat="1" applyFont="1" applyFill="1" applyBorder="1" applyAlignment="1">
      <alignment horizontal="left"/>
    </xf>
    <xf numFmtId="0" fontId="2" fillId="0" borderId="0" xfId="2" applyFill="1" applyBorder="1"/>
    <xf numFmtId="4" fontId="6" fillId="0" borderId="0" xfId="2" applyNumberFormat="1" applyFont="1" applyFill="1" applyBorder="1" applyAlignment="1"/>
    <xf numFmtId="0" fontId="6" fillId="0" borderId="0" xfId="2" applyFont="1" applyFill="1" applyBorder="1" applyAlignment="1"/>
    <xf numFmtId="0" fontId="6" fillId="0" borderId="0" xfId="2" applyFont="1" applyFill="1" applyBorder="1" applyAlignment="1">
      <alignment horizontal="right"/>
    </xf>
    <xf numFmtId="0" fontId="6" fillId="0" borderId="0" xfId="2" applyFont="1" applyAlignment="1"/>
    <xf numFmtId="49" fontId="7" fillId="0" borderId="0" xfId="2" applyNumberFormat="1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left" wrapText="1"/>
    </xf>
    <xf numFmtId="0" fontId="7" fillId="0" borderId="0" xfId="2" applyFont="1" applyFill="1" applyBorder="1" applyAlignment="1">
      <alignment horizontal="left"/>
    </xf>
    <xf numFmtId="164" fontId="7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Border="1" applyAlignment="1">
      <alignment horizontal="right"/>
    </xf>
    <xf numFmtId="0" fontId="10" fillId="0" borderId="0" xfId="2" applyFont="1" applyFill="1" applyBorder="1" applyAlignment="1">
      <alignment horizontal="left"/>
    </xf>
    <xf numFmtId="1" fontId="7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horizontal="left" wrapText="1"/>
    </xf>
    <xf numFmtId="164" fontId="6" fillId="0" borderId="0" xfId="2" applyNumberFormat="1" applyFont="1" applyFill="1" applyBorder="1" applyAlignment="1">
      <alignment horizontal="right"/>
    </xf>
    <xf numFmtId="1" fontId="6" fillId="0" borderId="0" xfId="2" applyNumberFormat="1" applyFont="1" applyFill="1" applyBorder="1" applyAlignment="1">
      <alignment horizontal="right"/>
    </xf>
    <xf numFmtId="0" fontId="2" fillId="0" borderId="0" xfId="2" applyFont="1" applyFill="1" applyBorder="1" applyAlignment="1">
      <alignment horizontal="left"/>
    </xf>
    <xf numFmtId="40" fontId="6" fillId="0" borderId="0" xfId="2" applyNumberFormat="1" applyFont="1" applyFill="1" applyBorder="1" applyAlignment="1"/>
    <xf numFmtId="1" fontId="6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vertical="top"/>
    </xf>
    <xf numFmtId="49" fontId="6" fillId="0" borderId="0" xfId="2" applyNumberFormat="1" applyFont="1" applyFill="1" applyBorder="1" applyAlignment="1">
      <alignment vertical="top"/>
    </xf>
    <xf numFmtId="1" fontId="6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vertical="top"/>
    </xf>
    <xf numFmtId="1" fontId="7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horizontal="right"/>
    </xf>
    <xf numFmtId="40" fontId="7" fillId="0" borderId="0" xfId="2" applyNumberFormat="1" applyFont="1" applyFill="1" applyBorder="1" applyAlignment="1"/>
    <xf numFmtId="0" fontId="6" fillId="0" borderId="0" xfId="2" applyFont="1" applyAlignment="1">
      <alignment vertical="justify"/>
    </xf>
    <xf numFmtId="0" fontId="6" fillId="0" borderId="0" xfId="0" applyFont="1" applyFill="1"/>
    <xf numFmtId="40" fontId="6" fillId="0" borderId="0" xfId="0" applyNumberFormat="1" applyFont="1" applyFill="1"/>
    <xf numFmtId="0" fontId="6" fillId="0" borderId="0" xfId="2" applyFont="1"/>
    <xf numFmtId="0" fontId="6" fillId="0" borderId="0" xfId="0" applyFont="1" applyFill="1" applyAlignment="1">
      <alignment vertical="justify"/>
    </xf>
    <xf numFmtId="0" fontId="6" fillId="0" borderId="0" xfId="0" applyFont="1" applyFill="1" applyAlignment="1">
      <alignment horizontal="left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2" applyFont="1" applyBorder="1" applyAlignment="1">
      <alignment horizontal="left"/>
    </xf>
    <xf numFmtId="40" fontId="6" fillId="8" borderId="0" xfId="2" applyNumberFormat="1" applyFont="1" applyFill="1" applyBorder="1" applyAlignment="1">
      <alignment horizontal="right"/>
    </xf>
    <xf numFmtId="43" fontId="11" fillId="0" borderId="0" xfId="1" applyFont="1" applyFill="1" applyBorder="1"/>
    <xf numFmtId="40" fontId="7" fillId="0" borderId="7" xfId="2" applyNumberFormat="1" applyFont="1" applyFill="1" applyBorder="1" applyAlignment="1">
      <alignment horizontal="right"/>
    </xf>
    <xf numFmtId="43" fontId="6" fillId="0" borderId="0" xfId="1" applyFont="1" applyFill="1" applyBorder="1"/>
    <xf numFmtId="43" fontId="11" fillId="0" borderId="0" xfId="1" applyFont="1" applyBorder="1"/>
    <xf numFmtId="1" fontId="6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left" vertical="center"/>
    </xf>
    <xf numFmtId="43" fontId="11" fillId="0" borderId="0" xfId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right" vertical="center" wrapText="1"/>
    </xf>
    <xf numFmtId="0" fontId="6" fillId="0" borderId="0" xfId="2" applyFont="1" applyFill="1" applyBorder="1" applyAlignment="1">
      <alignment horizontal="right" vertical="center"/>
    </xf>
    <xf numFmtId="0" fontId="6" fillId="8" borderId="0" xfId="3" applyFont="1" applyFill="1" applyBorder="1" applyAlignment="1">
      <alignment horizontal="left"/>
    </xf>
    <xf numFmtId="1" fontId="6" fillId="8" borderId="0" xfId="3" applyNumberFormat="1" applyFont="1" applyFill="1" applyBorder="1" applyAlignment="1">
      <alignment horizontal="center"/>
    </xf>
    <xf numFmtId="0" fontId="6" fillId="0" borderId="0" xfId="2" applyFont="1" applyFill="1" applyAlignment="1">
      <alignment vertical="top"/>
    </xf>
    <xf numFmtId="0" fontId="6" fillId="0" borderId="0" xfId="3" applyFont="1" applyFill="1" applyBorder="1" applyAlignment="1">
      <alignment horizontal="left"/>
    </xf>
    <xf numFmtId="0" fontId="6" fillId="0" borderId="0" xfId="3" applyFont="1" applyFill="1" applyAlignment="1">
      <alignment horizontal="left"/>
    </xf>
    <xf numFmtId="14" fontId="6" fillId="0" borderId="0" xfId="3" applyNumberFormat="1" applyFont="1" applyFill="1" applyBorder="1" applyAlignment="1">
      <alignment horizontal="right"/>
    </xf>
    <xf numFmtId="164" fontId="6" fillId="0" borderId="0" xfId="3" applyNumberFormat="1" applyFont="1" applyFill="1" applyBorder="1" applyAlignment="1">
      <alignment horizontal="right"/>
    </xf>
    <xf numFmtId="1" fontId="6" fillId="0" borderId="0" xfId="3" applyNumberFormat="1" applyFont="1" applyFill="1" applyBorder="1" applyAlignment="1">
      <alignment horizontal="right"/>
    </xf>
    <xf numFmtId="40" fontId="6" fillId="0" borderId="0" xfId="1" applyNumberFormat="1" applyFont="1" applyFill="1" applyBorder="1"/>
    <xf numFmtId="0" fontId="6" fillId="0" borderId="0" xfId="3" applyFont="1" applyFill="1" applyBorder="1"/>
    <xf numFmtId="49" fontId="6" fillId="0" borderId="0" xfId="3" applyNumberFormat="1" applyFont="1" applyFill="1" applyBorder="1" applyAlignment="1">
      <alignment horizontal="right"/>
    </xf>
    <xf numFmtId="0" fontId="7" fillId="0" borderId="0" xfId="4" applyFont="1" applyBorder="1"/>
    <xf numFmtId="0" fontId="6" fillId="0" borderId="0" xfId="3" applyFont="1" applyFill="1" applyAlignment="1">
      <alignment horizontal="right"/>
    </xf>
    <xf numFmtId="164" fontId="6" fillId="0" borderId="0" xfId="3" applyNumberFormat="1" applyFont="1" applyFill="1" applyAlignment="1">
      <alignment horizontal="right"/>
    </xf>
    <xf numFmtId="1" fontId="6" fillId="0" borderId="0" xfId="3" applyNumberFormat="1" applyFont="1" applyFill="1" applyAlignment="1">
      <alignment horizontal="right"/>
    </xf>
    <xf numFmtId="40" fontId="7" fillId="0" borderId="3" xfId="1" applyNumberFormat="1" applyFont="1" applyFill="1" applyBorder="1"/>
    <xf numFmtId="40" fontId="6" fillId="0" borderId="0" xfId="1" applyNumberFormat="1" applyFont="1" applyFill="1"/>
    <xf numFmtId="0" fontId="6" fillId="0" borderId="0" xfId="3" applyFont="1" applyFill="1"/>
    <xf numFmtId="0" fontId="7" fillId="0" borderId="0" xfId="5" applyFont="1" applyFill="1"/>
    <xf numFmtId="40" fontId="7" fillId="0" borderId="3" xfId="5" applyNumberFormat="1" applyFont="1" applyFill="1" applyBorder="1"/>
    <xf numFmtId="1" fontId="6" fillId="7" borderId="0" xfId="3" applyNumberFormat="1" applyFont="1" applyFill="1" applyBorder="1" applyAlignment="1">
      <alignment horizontal="center"/>
    </xf>
    <xf numFmtId="40" fontId="7" fillId="0" borderId="3" xfId="4" applyNumberFormat="1" applyFont="1" applyBorder="1"/>
    <xf numFmtId="0" fontId="6" fillId="0" borderId="0" xfId="2" applyFont="1" applyFill="1" applyAlignment="1">
      <alignment horizontal="left" vertical="top"/>
    </xf>
    <xf numFmtId="0" fontId="3" fillId="0" borderId="0" xfId="3" applyFont="1" applyFill="1" applyAlignment="1">
      <alignment horizontal="center"/>
    </xf>
    <xf numFmtId="0" fontId="5" fillId="0" borderId="0" xfId="3" applyFont="1" applyFill="1"/>
    <xf numFmtId="0" fontId="6" fillId="0" borderId="0" xfId="3" applyFont="1" applyFill="1" applyAlignment="1">
      <alignment horizontal="center"/>
    </xf>
    <xf numFmtId="40" fontId="6" fillId="0" borderId="0" xfId="3" applyNumberFormat="1" applyFont="1" applyFill="1" applyAlignment="1">
      <alignment horizontal="center"/>
    </xf>
    <xf numFmtId="14" fontId="4" fillId="7" borderId="0" xfId="2" applyNumberFormat="1" applyFont="1" applyFill="1" applyBorder="1"/>
    <xf numFmtId="40" fontId="6" fillId="0" borderId="0" xfId="3" applyNumberFormat="1" applyFont="1" applyFill="1"/>
    <xf numFmtId="14" fontId="6" fillId="7" borderId="0" xfId="3" applyNumberFormat="1" applyFont="1" applyFill="1" applyBorder="1"/>
    <xf numFmtId="0" fontId="7" fillId="5" borderId="8" xfId="3" applyFont="1" applyFill="1" applyBorder="1" applyAlignment="1">
      <alignment horizontal="center" vertical="justify"/>
    </xf>
    <xf numFmtId="0" fontId="7" fillId="5" borderId="8" xfId="3" applyFont="1" applyFill="1" applyBorder="1" applyAlignment="1">
      <alignment horizontal="left" vertical="justify"/>
    </xf>
    <xf numFmtId="164" fontId="7" fillId="5" borderId="8" xfId="3" applyNumberFormat="1" applyFont="1" applyFill="1" applyBorder="1" applyAlignment="1">
      <alignment horizontal="center" vertical="justify"/>
    </xf>
    <xf numFmtId="1" fontId="7" fillId="5" borderId="8" xfId="3" applyNumberFormat="1" applyFont="1" applyFill="1" applyBorder="1" applyAlignment="1">
      <alignment horizontal="center" vertical="justify"/>
    </xf>
    <xf numFmtId="40" fontId="7" fillId="5" borderId="8" xfId="3" applyNumberFormat="1" applyFont="1" applyFill="1" applyBorder="1" applyAlignment="1">
      <alignment horizontal="center" vertical="justify"/>
    </xf>
    <xf numFmtId="40" fontId="7" fillId="2" borderId="1" xfId="3" applyNumberFormat="1" applyFont="1" applyFill="1" applyBorder="1" applyAlignment="1">
      <alignment vertical="justify"/>
    </xf>
    <xf numFmtId="0" fontId="7" fillId="0" borderId="0" xfId="3" applyFont="1" applyFill="1" applyAlignment="1">
      <alignment horizontal="center" vertical="justify"/>
    </xf>
    <xf numFmtId="0" fontId="13" fillId="7" borderId="0" xfId="3" applyFont="1" applyFill="1" applyBorder="1" applyAlignment="1">
      <alignment vertical="justify"/>
    </xf>
    <xf numFmtId="14" fontId="6" fillId="0" borderId="0" xfId="3" applyNumberFormat="1" applyFont="1" applyFill="1" applyBorder="1" applyAlignment="1">
      <alignment horizontal="left"/>
    </xf>
    <xf numFmtId="164" fontId="6" fillId="0" borderId="0" xfId="3" applyNumberFormat="1" applyFont="1" applyFill="1" applyBorder="1" applyAlignment="1">
      <alignment horizontal="left"/>
    </xf>
    <xf numFmtId="1" fontId="6" fillId="0" borderId="0" xfId="3" applyNumberFormat="1" applyFont="1" applyFill="1" applyBorder="1" applyAlignment="1">
      <alignment horizontal="left"/>
    </xf>
    <xf numFmtId="40" fontId="6" fillId="0" borderId="0" xfId="3" applyNumberFormat="1" applyFont="1" applyFill="1" applyBorder="1"/>
    <xf numFmtId="43" fontId="6" fillId="0" borderId="0" xfId="3" applyNumberFormat="1" applyFont="1" applyFill="1" applyBorder="1"/>
    <xf numFmtId="1" fontId="6" fillId="0" borderId="0" xfId="3" applyNumberFormat="1" applyFont="1" applyFill="1" applyBorder="1" applyAlignment="1">
      <alignment horizontal="center"/>
    </xf>
    <xf numFmtId="0" fontId="6" fillId="5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left"/>
    </xf>
    <xf numFmtId="14" fontId="11" fillId="0" borderId="0" xfId="3" applyNumberFormat="1" applyFont="1" applyFill="1" applyBorder="1" applyAlignment="1">
      <alignment horizontal="left"/>
    </xf>
    <xf numFmtId="0" fontId="11" fillId="0" borderId="0" xfId="3" applyFont="1" applyFill="1" applyBorder="1"/>
    <xf numFmtId="40" fontId="11" fillId="0" borderId="0" xfId="2" applyNumberFormat="1" applyFont="1" applyFill="1" applyBorder="1" applyAlignment="1">
      <alignment horizontal="right"/>
    </xf>
    <xf numFmtId="40" fontId="11" fillId="0" borderId="0" xfId="3" applyNumberFormat="1" applyFont="1" applyFill="1" applyBorder="1"/>
    <xf numFmtId="43" fontId="11" fillId="0" borderId="0" xfId="3" applyNumberFormat="1" applyFont="1" applyFill="1" applyBorder="1"/>
    <xf numFmtId="1" fontId="11" fillId="0" borderId="0" xfId="3" applyNumberFormat="1" applyFont="1" applyFill="1" applyBorder="1" applyAlignment="1">
      <alignment horizontal="center"/>
    </xf>
    <xf numFmtId="166" fontId="6" fillId="0" borderId="0" xfId="3" applyNumberFormat="1" applyFont="1" applyFill="1" applyBorder="1" applyAlignment="1">
      <alignment horizontal="left"/>
    </xf>
    <xf numFmtId="40" fontId="6" fillId="0" borderId="0" xfId="1" applyNumberFormat="1" applyFont="1" applyFill="1" applyBorder="1" applyAlignment="1">
      <alignment wrapText="1"/>
    </xf>
    <xf numFmtId="0" fontId="6" fillId="3" borderId="0" xfId="3" applyFont="1" applyFill="1" applyBorder="1" applyAlignment="1">
      <alignment horizontal="left"/>
    </xf>
    <xf numFmtId="14" fontId="6" fillId="3" borderId="0" xfId="3" applyNumberFormat="1" applyFont="1" applyFill="1" applyBorder="1" applyAlignment="1">
      <alignment horizontal="left"/>
    </xf>
    <xf numFmtId="164" fontId="6" fillId="3" borderId="0" xfId="3" applyNumberFormat="1" applyFont="1" applyFill="1" applyBorder="1" applyAlignment="1">
      <alignment horizontal="left"/>
    </xf>
    <xf numFmtId="1" fontId="6" fillId="3" borderId="0" xfId="3" applyNumberFormat="1" applyFont="1" applyFill="1" applyBorder="1" applyAlignment="1">
      <alignment horizontal="left"/>
    </xf>
    <xf numFmtId="0" fontId="6" fillId="3" borderId="0" xfId="3" applyFont="1" applyFill="1" applyBorder="1"/>
    <xf numFmtId="40" fontId="6" fillId="3" borderId="0" xfId="3" applyNumberFormat="1" applyFont="1" applyFill="1" applyBorder="1"/>
    <xf numFmtId="43" fontId="6" fillId="3" borderId="0" xfId="3" applyNumberFormat="1" applyFont="1" applyFill="1" applyBorder="1"/>
    <xf numFmtId="1" fontId="6" fillId="3" borderId="0" xfId="3" applyNumberFormat="1" applyFont="1" applyFill="1" applyBorder="1" applyAlignment="1">
      <alignment horizontal="center"/>
    </xf>
    <xf numFmtId="0" fontId="11" fillId="11" borderId="0" xfId="3" applyFont="1" applyFill="1" applyBorder="1" applyAlignment="1">
      <alignment horizontal="left"/>
    </xf>
    <xf numFmtId="14" fontId="11" fillId="11" borderId="0" xfId="3" applyNumberFormat="1" applyFont="1" applyFill="1" applyBorder="1" applyAlignment="1">
      <alignment horizontal="left"/>
    </xf>
    <xf numFmtId="1" fontId="11" fillId="11" borderId="0" xfId="3" applyNumberFormat="1" applyFont="1" applyFill="1" applyBorder="1" applyAlignment="1">
      <alignment horizontal="left"/>
    </xf>
    <xf numFmtId="40" fontId="11" fillId="11" borderId="0" xfId="2" applyNumberFormat="1" applyFont="1" applyFill="1" applyBorder="1" applyAlignment="1">
      <alignment horizontal="right"/>
    </xf>
    <xf numFmtId="1" fontId="11" fillId="11" borderId="0" xfId="3" applyNumberFormat="1" applyFont="1" applyFill="1" applyBorder="1" applyAlignment="1">
      <alignment horizontal="center"/>
    </xf>
    <xf numFmtId="0" fontId="6" fillId="9" borderId="0" xfId="3" applyFont="1" applyFill="1" applyBorder="1" applyAlignment="1">
      <alignment horizontal="left"/>
    </xf>
    <xf numFmtId="14" fontId="6" fillId="9" borderId="0" xfId="3" applyNumberFormat="1" applyFont="1" applyFill="1" applyBorder="1" applyAlignment="1">
      <alignment horizontal="left"/>
    </xf>
    <xf numFmtId="164" fontId="6" fillId="9" borderId="0" xfId="3" applyNumberFormat="1" applyFont="1" applyFill="1" applyBorder="1" applyAlignment="1">
      <alignment horizontal="left"/>
    </xf>
    <xf numFmtId="1" fontId="6" fillId="9" borderId="0" xfId="3" applyNumberFormat="1" applyFont="1" applyFill="1" applyBorder="1" applyAlignment="1">
      <alignment horizontal="left"/>
    </xf>
    <xf numFmtId="1" fontId="6" fillId="9" borderId="0" xfId="3" applyNumberFormat="1" applyFont="1" applyFill="1" applyBorder="1" applyAlignment="1">
      <alignment horizontal="center"/>
    </xf>
    <xf numFmtId="0" fontId="6" fillId="11" borderId="0" xfId="3" applyFont="1" applyFill="1" applyBorder="1" applyAlignment="1">
      <alignment horizontal="left"/>
    </xf>
    <xf numFmtId="14" fontId="6" fillId="11" borderId="0" xfId="3" applyNumberFormat="1" applyFont="1" applyFill="1" applyBorder="1" applyAlignment="1">
      <alignment horizontal="left"/>
    </xf>
    <xf numFmtId="164" fontId="6" fillId="11" borderId="0" xfId="3" applyNumberFormat="1" applyFont="1" applyFill="1" applyBorder="1" applyAlignment="1">
      <alignment horizontal="left"/>
    </xf>
    <xf numFmtId="1" fontId="6" fillId="11" borderId="0" xfId="3" applyNumberFormat="1" applyFont="1" applyFill="1" applyBorder="1" applyAlignment="1">
      <alignment horizontal="left"/>
    </xf>
    <xf numFmtId="40" fontId="6" fillId="11" borderId="0" xfId="2" applyNumberFormat="1" applyFont="1" applyFill="1" applyBorder="1" applyAlignment="1">
      <alignment horizontal="right"/>
    </xf>
    <xf numFmtId="1" fontId="6" fillId="11" borderId="0" xfId="3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horizontal="left"/>
    </xf>
    <xf numFmtId="14" fontId="8" fillId="0" borderId="0" xfId="3" applyNumberFormat="1" applyFont="1" applyFill="1" applyBorder="1" applyAlignment="1">
      <alignment horizontal="left"/>
    </xf>
    <xf numFmtId="164" fontId="8" fillId="0" borderId="0" xfId="3" applyNumberFormat="1" applyFont="1" applyFill="1" applyBorder="1" applyAlignment="1">
      <alignment horizontal="left"/>
    </xf>
    <xf numFmtId="1" fontId="8" fillId="0" borderId="0" xfId="3" applyNumberFormat="1" applyFont="1" applyFill="1" applyBorder="1" applyAlignment="1">
      <alignment horizontal="left"/>
    </xf>
    <xf numFmtId="40" fontId="8" fillId="0" borderId="0" xfId="1" applyNumberFormat="1" applyFont="1" applyFill="1" applyBorder="1"/>
    <xf numFmtId="0" fontId="8" fillId="0" borderId="0" xfId="3" applyFont="1" applyFill="1" applyBorder="1"/>
    <xf numFmtId="40" fontId="8" fillId="0" borderId="0" xfId="2" applyNumberFormat="1" applyFont="1" applyFill="1" applyBorder="1" applyAlignment="1">
      <alignment horizontal="right"/>
    </xf>
    <xf numFmtId="40" fontId="8" fillId="0" borderId="0" xfId="3" applyNumberFormat="1" applyFont="1" applyFill="1" applyBorder="1"/>
    <xf numFmtId="1" fontId="8" fillId="0" borderId="0" xfId="3" applyNumberFormat="1" applyFont="1" applyFill="1" applyBorder="1" applyAlignment="1">
      <alignment horizontal="center"/>
    </xf>
    <xf numFmtId="14" fontId="6" fillId="5" borderId="0" xfId="3" applyNumberFormat="1" applyFont="1" applyFill="1" applyBorder="1" applyAlignment="1">
      <alignment horizontal="left"/>
    </xf>
    <xf numFmtId="164" fontId="6" fillId="5" borderId="0" xfId="3" applyNumberFormat="1" applyFont="1" applyFill="1" applyBorder="1" applyAlignment="1">
      <alignment horizontal="left"/>
    </xf>
    <xf numFmtId="1" fontId="6" fillId="5" borderId="0" xfId="3" applyNumberFormat="1" applyFont="1" applyFill="1" applyBorder="1" applyAlignment="1">
      <alignment horizontal="left"/>
    </xf>
    <xf numFmtId="0" fontId="6" fillId="5" borderId="0" xfId="3" applyFont="1" applyFill="1" applyBorder="1" applyAlignment="1">
      <alignment horizontal="right"/>
    </xf>
    <xf numFmtId="1" fontId="6" fillId="5" borderId="0" xfId="3" applyNumberFormat="1" applyFont="1" applyFill="1" applyBorder="1" applyAlignment="1">
      <alignment horizontal="center"/>
    </xf>
    <xf numFmtId="40" fontId="6" fillId="0" borderId="0" xfId="1" applyNumberFormat="1" applyFont="1" applyFill="1" applyBorder="1" applyAlignment="1">
      <alignment horizontal="right"/>
    </xf>
    <xf numFmtId="40" fontId="6" fillId="0" borderId="0" xfId="1" applyNumberFormat="1" applyFont="1" applyFill="1" applyBorder="1" applyAlignment="1">
      <alignment horizontal="left"/>
    </xf>
    <xf numFmtId="40" fontId="8" fillId="0" borderId="0" xfId="1" applyNumberFormat="1" applyFont="1" applyFill="1" applyBorder="1" applyAlignment="1">
      <alignment horizontal="right"/>
    </xf>
    <xf numFmtId="0" fontId="6" fillId="12" borderId="0" xfId="3" applyFont="1" applyFill="1" applyBorder="1" applyAlignment="1">
      <alignment horizontal="left"/>
    </xf>
    <xf numFmtId="14" fontId="6" fillId="12" borderId="0" xfId="3" applyNumberFormat="1" applyFont="1" applyFill="1" applyBorder="1" applyAlignment="1">
      <alignment horizontal="left"/>
    </xf>
    <xf numFmtId="164" fontId="6" fillId="12" borderId="0" xfId="3" applyNumberFormat="1" applyFont="1" applyFill="1" applyBorder="1" applyAlignment="1">
      <alignment horizontal="left"/>
    </xf>
    <xf numFmtId="1" fontId="6" fillId="12" borderId="0" xfId="3" applyNumberFormat="1" applyFont="1" applyFill="1" applyBorder="1" applyAlignment="1">
      <alignment horizontal="left"/>
    </xf>
    <xf numFmtId="1" fontId="6" fillId="12" borderId="0" xfId="3" applyNumberFormat="1" applyFont="1" applyFill="1" applyBorder="1" applyAlignment="1">
      <alignment horizontal="center"/>
    </xf>
    <xf numFmtId="0" fontId="11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horizontal="left" vertical="justify"/>
    </xf>
    <xf numFmtId="40" fontId="6" fillId="0" borderId="0" xfId="1" applyNumberFormat="1" applyFont="1" applyFill="1" applyBorder="1" applyAlignment="1">
      <alignment horizontal="right" vertical="justify"/>
    </xf>
    <xf numFmtId="40" fontId="6" fillId="0" borderId="0" xfId="1" applyNumberFormat="1" applyFont="1" applyFill="1" applyBorder="1" applyAlignment="1">
      <alignment horizontal="left" vertical="justify"/>
    </xf>
    <xf numFmtId="43" fontId="6" fillId="0" borderId="0" xfId="1" applyFont="1" applyFill="1" applyBorder="1" applyAlignment="1">
      <alignment vertical="justify"/>
    </xf>
    <xf numFmtId="0" fontId="6" fillId="3" borderId="0" xfId="3" applyFont="1" applyFill="1" applyBorder="1" applyAlignment="1">
      <alignment horizontal="left" vertical="justify"/>
    </xf>
    <xf numFmtId="0" fontId="6" fillId="0" borderId="0" xfId="3" applyFont="1" applyFill="1" applyBorder="1" applyAlignment="1">
      <alignment horizontal="right"/>
    </xf>
    <xf numFmtId="43" fontId="6" fillId="0" borderId="0" xfId="1" applyFont="1" applyFill="1" applyBorder="1" applyAlignment="1">
      <alignment horizontal="left"/>
    </xf>
    <xf numFmtId="164" fontId="6" fillId="0" borderId="0" xfId="1" applyNumberFormat="1" applyFont="1" applyFill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43" fontId="6" fillId="11" borderId="0" xfId="1" applyFont="1" applyFill="1" applyBorder="1" applyAlignment="1">
      <alignment horizontal="left"/>
    </xf>
    <xf numFmtId="164" fontId="6" fillId="11" borderId="0" xfId="1" applyNumberFormat="1" applyFont="1" applyFill="1" applyBorder="1" applyAlignment="1">
      <alignment horizontal="left"/>
    </xf>
    <xf numFmtId="1" fontId="6" fillId="11" borderId="0" xfId="1" applyNumberFormat="1" applyFont="1" applyFill="1" applyBorder="1" applyAlignment="1">
      <alignment horizontal="left"/>
    </xf>
    <xf numFmtId="0" fontId="6" fillId="0" borderId="0" xfId="3" applyFont="1" applyFill="1" applyBorder="1" applyAlignment="1">
      <alignment horizontal="left" vertical="center"/>
    </xf>
    <xf numFmtId="164" fontId="6" fillId="0" borderId="0" xfId="3" applyNumberFormat="1" applyFont="1" applyFill="1" applyBorder="1" applyAlignment="1">
      <alignment horizontal="left" vertical="center"/>
    </xf>
    <xf numFmtId="1" fontId="6" fillId="0" borderId="0" xfId="3" applyNumberFormat="1" applyFont="1" applyFill="1" applyBorder="1" applyAlignment="1">
      <alignment horizontal="left" vertical="center"/>
    </xf>
    <xf numFmtId="40" fontId="6" fillId="0" borderId="0" xfId="1" applyNumberFormat="1" applyFont="1" applyFill="1" applyBorder="1" applyAlignment="1">
      <alignment vertical="center"/>
    </xf>
    <xf numFmtId="14" fontId="6" fillId="8" borderId="0" xfId="3" applyNumberFormat="1" applyFont="1" applyFill="1" applyBorder="1" applyAlignment="1">
      <alignment horizontal="left"/>
    </xf>
    <xf numFmtId="40" fontId="6" fillId="8" borderId="0" xfId="1" applyNumberFormat="1" applyFont="1" applyFill="1" applyBorder="1" applyAlignment="1">
      <alignment horizontal="left"/>
    </xf>
    <xf numFmtId="43" fontId="6" fillId="8" borderId="0" xfId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4" fontId="6" fillId="0" borderId="0" xfId="1" applyNumberFormat="1" applyFont="1" applyFill="1" applyBorder="1"/>
    <xf numFmtId="0" fontId="11" fillId="0" borderId="0" xfId="3" applyFont="1" applyFill="1" applyBorder="1" applyAlignment="1">
      <alignment wrapText="1"/>
    </xf>
    <xf numFmtId="4" fontId="11" fillId="0" borderId="0" xfId="1" applyNumberFormat="1" applyFont="1" applyFill="1" applyBorder="1"/>
    <xf numFmtId="0" fontId="6" fillId="3" borderId="0" xfId="3" applyFont="1" applyFill="1" applyBorder="1" applyAlignment="1">
      <alignment wrapText="1"/>
    </xf>
    <xf numFmtId="4" fontId="6" fillId="3" borderId="0" xfId="1" applyNumberFormat="1" applyFont="1" applyFill="1" applyBorder="1"/>
    <xf numFmtId="4" fontId="6" fillId="0" borderId="0" xfId="3" applyNumberFormat="1" applyFont="1" applyFill="1" applyBorder="1"/>
    <xf numFmtId="0" fontId="6" fillId="4" borderId="0" xfId="3" applyFont="1" applyFill="1" applyBorder="1" applyAlignment="1">
      <alignment horizontal="left"/>
    </xf>
    <xf numFmtId="14" fontId="6" fillId="4" borderId="0" xfId="3" applyNumberFormat="1" applyFont="1" applyFill="1" applyBorder="1" applyAlignment="1">
      <alignment horizontal="left"/>
    </xf>
    <xf numFmtId="40" fontId="6" fillId="4" borderId="0" xfId="2" applyNumberFormat="1" applyFont="1" applyFill="1" applyBorder="1" applyAlignment="1">
      <alignment horizontal="right"/>
    </xf>
    <xf numFmtId="1" fontId="6" fillId="4" borderId="0" xfId="3" applyNumberFormat="1" applyFont="1" applyFill="1" applyBorder="1" applyAlignment="1">
      <alignment horizontal="center"/>
    </xf>
    <xf numFmtId="4" fontId="6" fillId="0" borderId="0" xfId="3" applyNumberFormat="1" applyFont="1" applyFill="1" applyBorder="1" applyAlignment="1">
      <alignment horizontal="right"/>
    </xf>
    <xf numFmtId="4" fontId="6" fillId="0" borderId="0" xfId="3" applyNumberFormat="1" applyFont="1" applyFill="1" applyBorder="1" applyAlignment="1">
      <alignment horizontal="left"/>
    </xf>
    <xf numFmtId="4" fontId="6" fillId="0" borderId="0" xfId="1" applyNumberFormat="1" applyFont="1" applyFill="1" applyBorder="1" applyAlignment="1">
      <alignment horizontal="right"/>
    </xf>
    <xf numFmtId="4" fontId="6" fillId="0" borderId="0" xfId="1" applyNumberFormat="1" applyFont="1" applyFill="1" applyBorder="1" applyAlignment="1">
      <alignment horizontal="left"/>
    </xf>
    <xf numFmtId="1" fontId="6" fillId="0" borderId="0" xfId="3" applyNumberFormat="1" applyFont="1" applyFill="1" applyBorder="1"/>
    <xf numFmtId="4" fontId="6" fillId="0" borderId="0" xfId="1" applyNumberFormat="1" applyFont="1" applyFill="1" applyBorder="1" applyAlignment="1" applyProtection="1">
      <alignment horizontal="right"/>
      <protection locked="0"/>
    </xf>
    <xf numFmtId="0" fontId="6" fillId="0" borderId="0" xfId="3" applyFont="1" applyFill="1" applyBorder="1" applyAlignment="1">
      <alignment horizontal="left" vertical="center" wrapText="1"/>
    </xf>
    <xf numFmtId="0" fontId="6" fillId="0" borderId="0" xfId="3" applyFont="1" applyFill="1" applyBorder="1" applyAlignment="1">
      <alignment horizontal="left" wrapText="1"/>
    </xf>
    <xf numFmtId="14" fontId="6" fillId="0" borderId="0" xfId="2" applyNumberFormat="1" applyFont="1" applyFill="1" applyBorder="1" applyAlignment="1">
      <alignment horizontal="left"/>
    </xf>
    <xf numFmtId="0" fontId="7" fillId="0" borderId="0" xfId="3" applyFont="1" applyFill="1" applyBorder="1" applyAlignment="1">
      <alignment wrapText="1"/>
    </xf>
    <xf numFmtId="0" fontId="6" fillId="0" borderId="0" xfId="3" applyFont="1" applyFill="1" applyBorder="1" applyAlignment="1">
      <alignment horizontal="justify" vertical="justify"/>
    </xf>
    <xf numFmtId="14" fontId="6" fillId="0" borderId="0" xfId="3" applyNumberFormat="1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43" fontId="11" fillId="0" borderId="0" xfId="1" applyFont="1" applyFill="1" applyBorder="1" applyAlignment="1">
      <alignment horizontal="right" wrapText="1"/>
    </xf>
    <xf numFmtId="4" fontId="7" fillId="0" borderId="0" xfId="3" applyNumberFormat="1" applyFont="1" applyFill="1" applyBorder="1" applyAlignment="1">
      <alignment wrapText="1"/>
    </xf>
    <xf numFmtId="43" fontId="11" fillId="0" borderId="0" xfId="1" applyFont="1" applyFill="1" applyBorder="1" applyAlignment="1">
      <alignment horizontal="center" vertical="center" wrapText="1"/>
    </xf>
    <xf numFmtId="14" fontId="6" fillId="0" borderId="0" xfId="3" applyNumberFormat="1" applyFont="1" applyFill="1" applyBorder="1" applyAlignment="1">
      <alignment horizontal="left" wrapText="1"/>
    </xf>
    <xf numFmtId="0" fontId="6" fillId="0" borderId="0" xfId="3" applyFont="1" applyFill="1" applyBorder="1" applyAlignment="1">
      <alignment horizontal="right" wrapText="1"/>
    </xf>
    <xf numFmtId="40" fontId="6" fillId="0" borderId="0" xfId="3" applyNumberFormat="1" applyFont="1" applyFill="1" applyBorder="1" applyAlignment="1">
      <alignment wrapText="1"/>
    </xf>
    <xf numFmtId="0" fontId="6" fillId="0" borderId="0" xfId="3" applyFont="1" applyFill="1" applyBorder="1" applyAlignment="1"/>
    <xf numFmtId="164" fontId="6" fillId="0" borderId="0" xfId="3" applyNumberFormat="1" applyFont="1" applyFill="1" applyBorder="1" applyAlignment="1">
      <alignment horizontal="right" wrapText="1"/>
    </xf>
    <xf numFmtId="43" fontId="11" fillId="0" borderId="0" xfId="1" applyFont="1" applyFill="1" applyBorder="1" applyAlignment="1">
      <alignment vertical="center" wrapText="1"/>
    </xf>
    <xf numFmtId="0" fontId="6" fillId="13" borderId="0" xfId="3" applyFont="1" applyFill="1" applyBorder="1"/>
    <xf numFmtId="0" fontId="6" fillId="13" borderId="0" xfId="3" applyFont="1" applyFill="1" applyBorder="1" applyAlignment="1">
      <alignment wrapText="1"/>
    </xf>
    <xf numFmtId="0" fontId="6" fillId="13" borderId="0" xfId="3" applyFont="1" applyFill="1" applyBorder="1" applyAlignment="1">
      <alignment horizontal="left"/>
    </xf>
    <xf numFmtId="14" fontId="6" fillId="13" borderId="0" xfId="3" applyNumberFormat="1" applyFont="1" applyFill="1" applyBorder="1" applyAlignment="1">
      <alignment horizontal="left"/>
    </xf>
    <xf numFmtId="1" fontId="6" fillId="13" borderId="0" xfId="3" applyNumberFormat="1" applyFont="1" applyFill="1" applyBorder="1" applyAlignment="1">
      <alignment horizontal="left"/>
    </xf>
    <xf numFmtId="4" fontId="6" fillId="13" borderId="0" xfId="3" applyNumberFormat="1" applyFont="1" applyFill="1" applyBorder="1"/>
    <xf numFmtId="40" fontId="6" fillId="13" borderId="0" xfId="3" applyNumberFormat="1" applyFont="1" applyFill="1" applyBorder="1"/>
    <xf numFmtId="0" fontId="7" fillId="0" borderId="0" xfId="3" applyFont="1" applyFill="1" applyAlignment="1">
      <alignment horizontal="left" wrapText="1"/>
    </xf>
    <xf numFmtId="0" fontId="7" fillId="0" borderId="0" xfId="3" applyFont="1" applyFill="1" applyAlignment="1">
      <alignment horizontal="left" vertical="justify"/>
    </xf>
    <xf numFmtId="164" fontId="7" fillId="0" borderId="0" xfId="3" applyNumberFormat="1" applyFont="1" applyFill="1" applyAlignment="1">
      <alignment horizontal="left" wrapText="1"/>
    </xf>
    <xf numFmtId="1" fontId="7" fillId="0" borderId="0" xfId="3" applyNumberFormat="1" applyFont="1" applyFill="1" applyAlignment="1">
      <alignment horizontal="left" wrapText="1"/>
    </xf>
    <xf numFmtId="40" fontId="7" fillId="0" borderId="6" xfId="1" applyNumberFormat="1" applyFont="1" applyFill="1" applyBorder="1" applyAlignment="1">
      <alignment wrapText="1"/>
    </xf>
    <xf numFmtId="40" fontId="7" fillId="0" borderId="0" xfId="1" applyNumberFormat="1" applyFont="1" applyFill="1" applyAlignment="1">
      <alignment wrapText="1"/>
    </xf>
    <xf numFmtId="0" fontId="7" fillId="0" borderId="0" xfId="3" applyFont="1" applyFill="1" applyAlignment="1">
      <alignment wrapText="1"/>
    </xf>
    <xf numFmtId="40" fontId="7" fillId="0" borderId="0" xfId="1" applyNumberFormat="1" applyFont="1" applyFill="1" applyBorder="1" applyAlignment="1">
      <alignment wrapText="1"/>
    </xf>
    <xf numFmtId="0" fontId="6" fillId="14" borderId="0" xfId="3" applyFont="1" applyFill="1" applyAlignment="1">
      <alignment horizontal="left" wrapText="1"/>
    </xf>
    <xf numFmtId="164" fontId="6" fillId="14" borderId="0" xfId="3" applyNumberFormat="1" applyFont="1" applyFill="1" applyAlignment="1">
      <alignment horizontal="left" wrapText="1"/>
    </xf>
    <xf numFmtId="1" fontId="6" fillId="14" borderId="0" xfId="3" applyNumberFormat="1" applyFont="1" applyFill="1" applyAlignment="1">
      <alignment horizontal="left" wrapText="1"/>
    </xf>
    <xf numFmtId="40" fontId="6" fillId="14" borderId="0" xfId="1" applyNumberFormat="1" applyFont="1" applyFill="1" applyAlignment="1">
      <alignment wrapText="1"/>
    </xf>
    <xf numFmtId="0" fontId="6" fillId="14" borderId="0" xfId="3" applyFont="1" applyFill="1" applyAlignment="1">
      <alignment wrapText="1"/>
    </xf>
    <xf numFmtId="40" fontId="6" fillId="14" borderId="0" xfId="3" applyNumberFormat="1" applyFont="1" applyFill="1" applyAlignment="1">
      <alignment wrapText="1"/>
    </xf>
    <xf numFmtId="40" fontId="7" fillId="0" borderId="0" xfId="1" applyNumberFormat="1" applyFont="1" applyFill="1"/>
    <xf numFmtId="164" fontId="6" fillId="0" borderId="0" xfId="3" applyNumberFormat="1" applyFont="1" applyFill="1" applyAlignment="1">
      <alignment horizontal="left"/>
    </xf>
    <xf numFmtId="1" fontId="6" fillId="0" borderId="0" xfId="3" applyNumberFormat="1" applyFont="1" applyFill="1" applyAlignment="1">
      <alignment horizontal="left"/>
    </xf>
    <xf numFmtId="40" fontId="8" fillId="0" borderId="0" xfId="1" applyNumberFormat="1" applyFont="1" applyFill="1"/>
    <xf numFmtId="0" fontId="6" fillId="0" borderId="0" xfId="5" applyFont="1" applyFill="1" applyAlignment="1">
      <alignment horizontal="left"/>
    </xf>
    <xf numFmtId="14" fontId="6" fillId="0" borderId="0" xfId="5" applyNumberFormat="1" applyFont="1" applyFill="1" applyBorder="1" applyAlignment="1">
      <alignment horizontal="left"/>
    </xf>
    <xf numFmtId="164" fontId="6" fillId="0" borderId="0" xfId="5" applyNumberFormat="1" applyFont="1" applyFill="1" applyAlignment="1">
      <alignment horizontal="left"/>
    </xf>
    <xf numFmtId="1" fontId="6" fillId="0" borderId="0" xfId="5" applyNumberFormat="1" applyFont="1" applyFill="1" applyAlignment="1">
      <alignment horizontal="left"/>
    </xf>
    <xf numFmtId="0" fontId="6" fillId="0" borderId="0" xfId="5" applyFont="1" applyFill="1" applyBorder="1" applyAlignment="1">
      <alignment horizontal="left"/>
    </xf>
    <xf numFmtId="0" fontId="6" fillId="0" borderId="0" xfId="5" applyFont="1" applyFill="1"/>
    <xf numFmtId="0" fontId="6" fillId="0" borderId="0" xfId="5" applyFont="1" applyFill="1" applyBorder="1"/>
    <xf numFmtId="40" fontId="6" fillId="0" borderId="0" xfId="5" applyNumberFormat="1" applyFont="1" applyFill="1" applyBorder="1"/>
    <xf numFmtId="1" fontId="6" fillId="7" borderId="0" xfId="5" applyNumberFormat="1" applyFont="1" applyFill="1" applyBorder="1" applyAlignment="1">
      <alignment horizontal="center"/>
    </xf>
    <xf numFmtId="0" fontId="7" fillId="0" borderId="0" xfId="5" applyFont="1" applyFill="1" applyBorder="1"/>
    <xf numFmtId="0" fontId="6" fillId="10" borderId="0" xfId="5" applyFont="1" applyFill="1" applyBorder="1" applyAlignment="1">
      <alignment horizontal="left"/>
    </xf>
    <xf numFmtId="0" fontId="6" fillId="10" borderId="0" xfId="5" applyFont="1" applyFill="1" applyAlignment="1">
      <alignment horizontal="left"/>
    </xf>
    <xf numFmtId="14" fontId="6" fillId="10" borderId="0" xfId="5" applyNumberFormat="1" applyFont="1" applyFill="1" applyBorder="1" applyAlignment="1">
      <alignment horizontal="left"/>
    </xf>
    <xf numFmtId="164" fontId="6" fillId="10" borderId="0" xfId="5" applyNumberFormat="1" applyFont="1" applyFill="1" applyBorder="1" applyAlignment="1">
      <alignment horizontal="left"/>
    </xf>
    <xf numFmtId="1" fontId="6" fillId="10" borderId="0" xfId="5" applyNumberFormat="1" applyFont="1" applyFill="1" applyBorder="1" applyAlignment="1">
      <alignment horizontal="left"/>
    </xf>
    <xf numFmtId="40" fontId="6" fillId="10" borderId="0" xfId="1" applyNumberFormat="1" applyFont="1" applyFill="1" applyBorder="1" applyAlignment="1">
      <alignment horizontal="right"/>
    </xf>
    <xf numFmtId="40" fontId="6" fillId="10" borderId="0" xfId="1" applyNumberFormat="1" applyFont="1" applyFill="1" applyBorder="1" applyAlignment="1">
      <alignment horizontal="left"/>
    </xf>
    <xf numFmtId="0" fontId="6" fillId="10" borderId="0" xfId="5" applyFont="1" applyFill="1" applyBorder="1"/>
    <xf numFmtId="40" fontId="6" fillId="10" borderId="0" xfId="5" applyNumberFormat="1" applyFont="1" applyFill="1" applyBorder="1"/>
    <xf numFmtId="43" fontId="6" fillId="0" borderId="0" xfId="5" applyNumberFormat="1" applyFont="1" applyFill="1" applyBorder="1"/>
    <xf numFmtId="1" fontId="6" fillId="0" borderId="0" xfId="5" applyNumberFormat="1" applyFont="1" applyFill="1" applyBorder="1"/>
    <xf numFmtId="40" fontId="7" fillId="0" borderId="7" xfId="1" applyNumberFormat="1" applyFont="1" applyFill="1" applyBorder="1"/>
    <xf numFmtId="0" fontId="7" fillId="0" borderId="0" xfId="3" applyFont="1" applyFill="1"/>
    <xf numFmtId="0" fontId="2" fillId="0" borderId="4" xfId="2" applyBorder="1" applyAlignment="1">
      <alignment horizontal="center" vertical="center"/>
    </xf>
    <xf numFmtId="40" fontId="7" fillId="0" borderId="0" xfId="1" applyNumberFormat="1" applyFont="1" applyFill="1" applyBorder="1"/>
    <xf numFmtId="40" fontId="7" fillId="0" borderId="0" xfId="5" applyNumberFormat="1" applyFont="1" applyFill="1" applyBorder="1"/>
    <xf numFmtId="0" fontId="1" fillId="0" borderId="4" xfId="23" applyBorder="1" applyAlignment="1">
      <alignment horizontal="center" vertical="center" wrapText="1"/>
    </xf>
    <xf numFmtId="0" fontId="1" fillId="0" borderId="4" xfId="23" applyBorder="1" applyAlignment="1">
      <alignment horizontal="left" vertical="center"/>
    </xf>
    <xf numFmtId="0" fontId="2" fillId="0" borderId="1" xfId="2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left"/>
    </xf>
    <xf numFmtId="40" fontId="6" fillId="0" borderId="0" xfId="3" applyNumberFormat="1" applyFont="1" applyFill="1" applyAlignment="1">
      <alignment horizontal="left"/>
    </xf>
    <xf numFmtId="0" fontId="7" fillId="0" borderId="0" xfId="3" applyFont="1" applyFill="1" applyAlignment="1">
      <alignment horizontal="left"/>
    </xf>
    <xf numFmtId="164" fontId="7" fillId="0" borderId="0" xfId="3" applyNumberFormat="1" applyFont="1" applyFill="1" applyAlignment="1">
      <alignment horizontal="left"/>
    </xf>
    <xf numFmtId="1" fontId="7" fillId="0" borderId="0" xfId="3" applyNumberFormat="1" applyFont="1" applyFill="1" applyAlignment="1">
      <alignment horizontal="left"/>
    </xf>
    <xf numFmtId="43" fontId="7" fillId="0" borderId="0" xfId="1" applyFont="1" applyFill="1" applyAlignment="1">
      <alignment horizontal="left"/>
    </xf>
    <xf numFmtId="40" fontId="6" fillId="0" borderId="0" xfId="2" applyNumberFormat="1" applyFont="1" applyFill="1" applyBorder="1" applyAlignment="1">
      <alignment horizontal="right" wrapText="1"/>
    </xf>
    <xf numFmtId="1" fontId="6" fillId="7" borderId="0" xfId="3" applyNumberFormat="1" applyFont="1" applyFill="1" applyBorder="1" applyAlignment="1">
      <alignment horizontal="center" wrapText="1"/>
    </xf>
    <xf numFmtId="0" fontId="6" fillId="0" borderId="0" xfId="3" applyFont="1" applyFill="1" applyBorder="1" applyAlignment="1">
      <alignment horizontal="left" vertical="justify" wrapText="1"/>
    </xf>
    <xf numFmtId="40" fontId="6" fillId="0" borderId="0" xfId="1" applyNumberFormat="1" applyFont="1" applyFill="1" applyBorder="1" applyAlignment="1"/>
    <xf numFmtId="43" fontId="6" fillId="0" borderId="0" xfId="3" applyNumberFormat="1" applyFont="1" applyFill="1" applyBorder="1" applyAlignment="1"/>
    <xf numFmtId="40" fontId="6" fillId="0" borderId="0" xfId="3" applyNumberFormat="1" applyFont="1" applyFill="1" applyBorder="1" applyAlignment="1"/>
    <xf numFmtId="40" fontId="11" fillId="0" borderId="0" xfId="1" applyNumberFormat="1" applyFont="1" applyFill="1" applyBorder="1" applyAlignment="1"/>
    <xf numFmtId="0" fontId="11" fillId="0" borderId="0" xfId="3" applyFont="1" applyFill="1" applyBorder="1" applyAlignment="1"/>
    <xf numFmtId="43" fontId="6" fillId="0" borderId="0" xfId="1" applyFont="1" applyFill="1" applyBorder="1" applyAlignment="1"/>
    <xf numFmtId="40" fontId="6" fillId="3" borderId="0" xfId="1" applyNumberFormat="1" applyFont="1" applyFill="1" applyBorder="1" applyAlignment="1"/>
    <xf numFmtId="0" fontId="6" fillId="3" borderId="0" xfId="3" applyFont="1" applyFill="1" applyBorder="1" applyAlignment="1"/>
    <xf numFmtId="40" fontId="6" fillId="3" borderId="0" xfId="3" applyNumberFormat="1" applyFont="1" applyFill="1" applyBorder="1" applyAlignment="1"/>
    <xf numFmtId="43" fontId="6" fillId="3" borderId="0" xfId="3" applyNumberFormat="1" applyFont="1" applyFill="1" applyBorder="1" applyAlignment="1"/>
    <xf numFmtId="40" fontId="11" fillId="11" borderId="0" xfId="1" applyNumberFormat="1" applyFont="1" applyFill="1" applyBorder="1" applyAlignment="1"/>
    <xf numFmtId="0" fontId="11" fillId="11" borderId="0" xfId="3" applyFont="1" applyFill="1" applyBorder="1" applyAlignment="1"/>
    <xf numFmtId="40" fontId="11" fillId="11" borderId="0" xfId="3" applyNumberFormat="1" applyFont="1" applyFill="1" applyBorder="1" applyAlignment="1"/>
    <xf numFmtId="43" fontId="11" fillId="11" borderId="0" xfId="3" applyNumberFormat="1" applyFont="1" applyFill="1" applyBorder="1" applyAlignment="1"/>
    <xf numFmtId="43" fontId="6" fillId="9" borderId="0" xfId="1" applyFont="1" applyFill="1" applyBorder="1" applyAlignment="1"/>
    <xf numFmtId="0" fontId="6" fillId="9" borderId="0" xfId="3" applyFont="1" applyFill="1" applyBorder="1" applyAlignment="1"/>
    <xf numFmtId="40" fontId="6" fillId="9" borderId="0" xfId="3" applyNumberFormat="1" applyFont="1" applyFill="1" applyBorder="1" applyAlignment="1"/>
    <xf numFmtId="43" fontId="6" fillId="9" borderId="0" xfId="3" applyNumberFormat="1" applyFont="1" applyFill="1" applyBorder="1" applyAlignment="1"/>
    <xf numFmtId="40" fontId="6" fillId="11" borderId="0" xfId="1" applyNumberFormat="1" applyFont="1" applyFill="1" applyBorder="1" applyAlignment="1"/>
    <xf numFmtId="0" fontId="6" fillId="11" borderId="0" xfId="3" applyFont="1" applyFill="1" applyBorder="1" applyAlignment="1"/>
    <xf numFmtId="40" fontId="6" fillId="11" borderId="0" xfId="3" applyNumberFormat="1" applyFont="1" applyFill="1" applyBorder="1" applyAlignment="1"/>
    <xf numFmtId="43" fontId="6" fillId="11" borderId="0" xfId="3" applyNumberFormat="1" applyFont="1" applyFill="1" applyBorder="1" applyAlignment="1"/>
    <xf numFmtId="40" fontId="8" fillId="0" borderId="0" xfId="1" applyNumberFormat="1" applyFont="1" applyFill="1" applyBorder="1" applyAlignment="1"/>
    <xf numFmtId="0" fontId="8" fillId="0" borderId="0" xfId="3" applyFont="1" applyFill="1" applyBorder="1" applyAlignment="1"/>
    <xf numFmtId="40" fontId="8" fillId="0" borderId="0" xfId="3" applyNumberFormat="1" applyFont="1" applyFill="1" applyBorder="1" applyAlignment="1"/>
    <xf numFmtId="43" fontId="8" fillId="0" borderId="0" xfId="3" applyNumberFormat="1" applyFont="1" applyFill="1" applyBorder="1" applyAlignment="1"/>
    <xf numFmtId="40" fontId="6" fillId="5" borderId="0" xfId="1" applyNumberFormat="1" applyFont="1" applyFill="1" applyBorder="1" applyAlignment="1"/>
    <xf numFmtId="0" fontId="6" fillId="5" borderId="0" xfId="3" applyFont="1" applyFill="1" applyBorder="1" applyAlignment="1"/>
    <xf numFmtId="40" fontId="6" fillId="5" borderId="0" xfId="3" applyNumberFormat="1" applyFont="1" applyFill="1" applyBorder="1" applyAlignment="1"/>
    <xf numFmtId="43" fontId="6" fillId="5" borderId="0" xfId="3" applyNumberFormat="1" applyFont="1" applyFill="1" applyBorder="1" applyAlignment="1"/>
    <xf numFmtId="40" fontId="6" fillId="12" borderId="0" xfId="1" applyNumberFormat="1" applyFont="1" applyFill="1" applyBorder="1" applyAlignment="1"/>
    <xf numFmtId="0" fontId="6" fillId="12" borderId="0" xfId="3" applyFont="1" applyFill="1" applyBorder="1" applyAlignment="1"/>
    <xf numFmtId="40" fontId="6" fillId="12" borderId="0" xfId="3" applyNumberFormat="1" applyFont="1" applyFill="1" applyBorder="1" applyAlignment="1"/>
    <xf numFmtId="43" fontId="6" fillId="12" borderId="0" xfId="3" applyNumberFormat="1" applyFont="1" applyFill="1" applyBorder="1" applyAlignment="1"/>
    <xf numFmtId="0" fontId="6" fillId="8" borderId="0" xfId="3" applyFont="1" applyFill="1" applyBorder="1" applyAlignment="1"/>
    <xf numFmtId="40" fontId="6" fillId="8" borderId="0" xfId="3" applyNumberFormat="1" applyFont="1" applyFill="1" applyBorder="1" applyAlignment="1"/>
    <xf numFmtId="43" fontId="6" fillId="8" borderId="0" xfId="3" applyNumberFormat="1" applyFont="1" applyFill="1" applyBorder="1" applyAlignment="1"/>
    <xf numFmtId="4" fontId="7" fillId="0" borderId="0" xfId="1" applyNumberFormat="1" applyFont="1" applyFill="1" applyBorder="1" applyAlignment="1"/>
    <xf numFmtId="4" fontId="6" fillId="0" borderId="0" xfId="1" applyNumberFormat="1" applyFont="1" applyFill="1" applyBorder="1" applyAlignment="1"/>
    <xf numFmtId="4" fontId="8" fillId="0" borderId="0" xfId="1" applyNumberFormat="1" applyFont="1" applyFill="1" applyBorder="1" applyAlignment="1"/>
    <xf numFmtId="0" fontId="6" fillId="4" borderId="0" xfId="3" applyFont="1" applyFill="1" applyBorder="1" applyAlignment="1"/>
    <xf numFmtId="4" fontId="6" fillId="4" borderId="0" xfId="1" applyNumberFormat="1" applyFont="1" applyFill="1" applyBorder="1" applyAlignment="1"/>
    <xf numFmtId="40" fontId="6" fillId="4" borderId="0" xfId="3" applyNumberFormat="1" applyFont="1" applyFill="1" applyBorder="1" applyAlignment="1"/>
    <xf numFmtId="43" fontId="6" fillId="4" borderId="0" xfId="3" applyNumberFormat="1" applyFont="1" applyFill="1" applyBorder="1" applyAlignment="1"/>
    <xf numFmtId="1" fontId="6" fillId="3" borderId="0" xfId="3" applyNumberFormat="1" applyFont="1" applyFill="1" applyBorder="1" applyAlignment="1"/>
    <xf numFmtId="4" fontId="6" fillId="3" borderId="0" xfId="1" applyNumberFormat="1" applyFont="1" applyFill="1" applyBorder="1" applyAlignment="1"/>
    <xf numFmtId="1" fontId="6" fillId="0" borderId="0" xfId="3" applyNumberFormat="1" applyFont="1" applyFill="1" applyBorder="1" applyAlignment="1"/>
    <xf numFmtId="4" fontId="6" fillId="0" borderId="0" xfId="3" applyNumberFormat="1" applyFont="1" applyFill="1" applyBorder="1" applyAlignment="1"/>
    <xf numFmtId="165" fontId="6" fillId="0" borderId="0" xfId="3" applyNumberFormat="1" applyFont="1" applyFill="1" applyBorder="1" applyAlignment="1"/>
    <xf numFmtId="4" fontId="6" fillId="8" borderId="0" xfId="3" applyNumberFormat="1" applyFont="1" applyFill="1" applyBorder="1" applyAlignment="1"/>
    <xf numFmtId="4" fontId="6" fillId="4" borderId="0" xfId="3" applyNumberFormat="1" applyFont="1" applyFill="1" applyBorder="1" applyAlignment="1"/>
    <xf numFmtId="49" fontId="9" fillId="12" borderId="0" xfId="2" applyNumberFormat="1" applyFont="1" applyFill="1" applyBorder="1" applyAlignment="1">
      <alignment horizontal="left"/>
    </xf>
    <xf numFmtId="0" fontId="7" fillId="0" borderId="0" xfId="3" applyFont="1" applyFill="1" applyBorder="1" applyAlignment="1"/>
    <xf numFmtId="14" fontId="6" fillId="0" borderId="0" xfId="3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 vertical="center"/>
    </xf>
    <xf numFmtId="4" fontId="7" fillId="0" borderId="0" xfId="3" applyNumberFormat="1" applyFont="1" applyFill="1" applyBorder="1" applyAlignment="1"/>
    <xf numFmtId="164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center"/>
    </xf>
    <xf numFmtId="167" fontId="6" fillId="0" borderId="0" xfId="3" applyNumberFormat="1" applyFont="1" applyFill="1" applyBorder="1"/>
    <xf numFmtId="0" fontId="3" fillId="0" borderId="0" xfId="4" applyFont="1"/>
    <xf numFmtId="0" fontId="4" fillId="7" borderId="0" xfId="2" applyFont="1" applyFill="1" applyBorder="1"/>
    <xf numFmtId="0" fontId="5" fillId="0" borderId="0" xfId="4" applyFont="1"/>
    <xf numFmtId="0" fontId="4" fillId="0" borderId="0" xfId="4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0" fontId="6" fillId="0" borderId="0" xfId="4" applyFont="1"/>
    <xf numFmtId="0" fontId="6" fillId="0" borderId="0" xfId="4" applyFont="1" applyAlignment="1">
      <alignment vertical="justify"/>
    </xf>
    <xf numFmtId="0" fontId="6" fillId="0" borderId="0" xfId="4" applyFont="1" applyAlignment="1">
      <alignment horizontal="left"/>
    </xf>
    <xf numFmtId="40" fontId="6" fillId="0" borderId="0" xfId="4" applyNumberFormat="1" applyFont="1"/>
    <xf numFmtId="0" fontId="7" fillId="2" borderId="1" xfId="4" applyFont="1" applyFill="1" applyBorder="1" applyAlignment="1">
      <alignment vertical="justify"/>
    </xf>
    <xf numFmtId="0" fontId="7" fillId="2" borderId="1" xfId="4" applyFont="1" applyFill="1" applyBorder="1" applyAlignment="1">
      <alignment horizontal="left" vertical="justify"/>
    </xf>
    <xf numFmtId="164" fontId="7" fillId="2" borderId="1" xfId="4" applyNumberFormat="1" applyFont="1" applyFill="1" applyBorder="1" applyAlignment="1">
      <alignment horizontal="center" vertical="justify"/>
    </xf>
    <xf numFmtId="1" fontId="7" fillId="2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horizontal="right" vertical="justify"/>
    </xf>
    <xf numFmtId="0" fontId="7" fillId="0" borderId="0" xfId="4" applyFont="1" applyFill="1" applyAlignment="1">
      <alignment vertical="justify"/>
    </xf>
    <xf numFmtId="0" fontId="13" fillId="7" borderId="0" xfId="2" applyFont="1" applyFill="1" applyBorder="1" applyAlignment="1">
      <alignment vertical="justify"/>
    </xf>
    <xf numFmtId="164" fontId="6" fillId="0" borderId="0" xfId="4" applyNumberFormat="1" applyFont="1" applyAlignment="1">
      <alignment horizontal="center"/>
    </xf>
    <xf numFmtId="0" fontId="6" fillId="0" borderId="0" xfId="4" applyFont="1" applyAlignment="1">
      <alignment horizontal="center"/>
    </xf>
    <xf numFmtId="40" fontId="6" fillId="0" borderId="0" xfId="4" applyNumberFormat="1" applyFont="1" applyAlignment="1">
      <alignment wrapText="1"/>
    </xf>
    <xf numFmtId="0" fontId="6" fillId="0" borderId="0" xfId="4" applyFont="1" applyBorder="1" applyAlignment="1">
      <alignment vertical="justify"/>
    </xf>
    <xf numFmtId="0" fontId="6" fillId="0" borderId="0" xfId="4" applyFont="1" applyBorder="1"/>
    <xf numFmtId="0" fontId="6" fillId="0" borderId="0" xfId="4" applyFont="1" applyBorder="1" applyAlignment="1">
      <alignment horizontal="left"/>
    </xf>
    <xf numFmtId="164" fontId="6" fillId="0" borderId="0" xfId="4" applyNumberFormat="1" applyFont="1" applyBorder="1" applyAlignment="1">
      <alignment horizontal="center"/>
    </xf>
    <xf numFmtId="0" fontId="6" fillId="0" borderId="0" xfId="4" applyFont="1" applyBorder="1" applyAlignment="1">
      <alignment horizontal="center"/>
    </xf>
    <xf numFmtId="40" fontId="6" fillId="0" borderId="0" xfId="4" applyNumberFormat="1" applyFont="1" applyBorder="1"/>
    <xf numFmtId="0" fontId="6" fillId="0" borderId="0" xfId="4" applyFont="1" applyFill="1" applyBorder="1" applyAlignment="1">
      <alignment vertical="justify"/>
    </xf>
    <xf numFmtId="0" fontId="6" fillId="0" borderId="0" xfId="4" applyFont="1" applyFill="1" applyBorder="1"/>
    <xf numFmtId="0" fontId="6" fillId="0" borderId="0" xfId="4" applyFont="1" applyFill="1" applyBorder="1" applyAlignment="1">
      <alignment horizontal="left"/>
    </xf>
    <xf numFmtId="164" fontId="6" fillId="0" borderId="0" xfId="4" applyNumberFormat="1" applyFont="1" applyFill="1" applyBorder="1" applyAlignment="1">
      <alignment horizontal="center"/>
    </xf>
    <xf numFmtId="0" fontId="6" fillId="0" borderId="0" xfId="4" applyFont="1" applyFill="1" applyBorder="1" applyAlignment="1">
      <alignment horizontal="center"/>
    </xf>
    <xf numFmtId="40" fontId="6" fillId="0" borderId="0" xfId="4" applyNumberFormat="1" applyFont="1" applyFill="1" applyBorder="1"/>
    <xf numFmtId="40" fontId="6" fillId="0" borderId="0" xfId="4" applyNumberFormat="1" applyFont="1" applyBorder="1" applyAlignment="1">
      <alignment wrapText="1"/>
    </xf>
    <xf numFmtId="0" fontId="7" fillId="0" borderId="0" xfId="4" applyFont="1" applyBorder="1" applyAlignment="1">
      <alignment vertical="justify"/>
    </xf>
    <xf numFmtId="0" fontId="7" fillId="0" borderId="0" xfId="4" applyFont="1" applyBorder="1" applyAlignment="1">
      <alignment horizontal="left"/>
    </xf>
    <xf numFmtId="164" fontId="7" fillId="0" borderId="0" xfId="4" applyNumberFormat="1" applyFont="1" applyBorder="1" applyAlignment="1">
      <alignment horizontal="center"/>
    </xf>
    <xf numFmtId="0" fontId="7" fillId="0" borderId="0" xfId="4" applyFont="1" applyBorder="1" applyAlignment="1">
      <alignment horizontal="center"/>
    </xf>
    <xf numFmtId="0" fontId="4" fillId="0" borderId="0" xfId="4" applyFont="1" applyFill="1" applyBorder="1"/>
    <xf numFmtId="4" fontId="4" fillId="0" borderId="0" xfId="4" applyNumberFormat="1" applyFont="1" applyFill="1" applyBorder="1" applyAlignment="1">
      <alignment wrapText="1"/>
    </xf>
    <xf numFmtId="4" fontId="4" fillId="0" borderId="0" xfId="4" applyNumberFormat="1" applyFont="1" applyFill="1" applyBorder="1"/>
    <xf numFmtId="40" fontId="7" fillId="0" borderId="5" xfId="4" applyNumberFormat="1" applyFont="1" applyBorder="1"/>
    <xf numFmtId="164" fontId="6" fillId="0" borderId="0" xfId="4" applyNumberFormat="1" applyFont="1" applyBorder="1" applyAlignment="1">
      <alignment horizontal="right"/>
    </xf>
    <xf numFmtId="0" fontId="6" fillId="0" borderId="0" xfId="4" applyFont="1" applyBorder="1" applyAlignment="1">
      <alignment horizontal="right"/>
    </xf>
    <xf numFmtId="40" fontId="4" fillId="0" borderId="0" xfId="4" applyNumberFormat="1" applyFont="1" applyBorder="1" applyAlignment="1">
      <alignment horizontal="right"/>
    </xf>
    <xf numFmtId="40" fontId="4" fillId="0" borderId="0" xfId="4" applyNumberFormat="1" applyFont="1" applyBorder="1"/>
    <xf numFmtId="40" fontId="7" fillId="0" borderId="7" xfId="4" applyNumberFormat="1" applyFont="1" applyBorder="1"/>
    <xf numFmtId="1" fontId="6" fillId="6" borderId="0" xfId="2" applyNumberFormat="1" applyFont="1" applyFill="1" applyBorder="1" applyAlignment="1">
      <alignment horizontal="center"/>
    </xf>
    <xf numFmtId="0" fontId="7" fillId="7" borderId="0" xfId="2" applyFont="1" applyFill="1" applyBorder="1"/>
    <xf numFmtId="40" fontId="7" fillId="2" borderId="0" xfId="4" applyNumberFormat="1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0" fontId="7" fillId="2" borderId="8" xfId="4" applyFont="1" applyFill="1" applyBorder="1" applyAlignment="1">
      <alignment horizontal="right" vertical="justify"/>
    </xf>
    <xf numFmtId="40" fontId="7" fillId="0" borderId="0" xfId="4" applyNumberFormat="1" applyFont="1" applyBorder="1"/>
    <xf numFmtId="0" fontId="3" fillId="0" borderId="0" xfId="2" applyFont="1"/>
    <xf numFmtId="0" fontId="5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164" fontId="7" fillId="2" borderId="1" xfId="2" applyNumberFormat="1" applyFont="1" applyFill="1" applyBorder="1" applyAlignment="1">
      <alignment horizontal="center" vertical="justify"/>
    </xf>
    <xf numFmtId="1" fontId="7" fillId="2" borderId="1" xfId="2" applyNumberFormat="1" applyFont="1" applyFill="1" applyBorder="1" applyAlignment="1">
      <alignment horizontal="center" vertical="justify"/>
    </xf>
    <xf numFmtId="164" fontId="6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left"/>
    </xf>
    <xf numFmtId="0" fontId="6" fillId="0" borderId="0" xfId="2" applyFont="1" applyAlignment="1">
      <alignment vertical="center"/>
    </xf>
    <xf numFmtId="0" fontId="7" fillId="0" borderId="0" xfId="2" applyFont="1"/>
    <xf numFmtId="0" fontId="7" fillId="0" borderId="0" xfId="2" applyFont="1" applyAlignment="1">
      <alignment vertical="justify"/>
    </xf>
    <xf numFmtId="164" fontId="7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40" fontId="7" fillId="0" borderId="6" xfId="2" applyNumberFormat="1" applyFont="1" applyBorder="1"/>
    <xf numFmtId="40" fontId="7" fillId="2" borderId="8" xfId="2" applyNumberFormat="1" applyFont="1" applyFill="1" applyBorder="1" applyAlignment="1">
      <alignment horizontal="right" vertical="justify"/>
    </xf>
    <xf numFmtId="0" fontId="7" fillId="2" borderId="8" xfId="2" applyFont="1" applyFill="1" applyBorder="1" applyAlignment="1">
      <alignment vertical="justify"/>
    </xf>
    <xf numFmtId="0" fontId="7" fillId="2" borderId="8" xfId="2" applyFont="1" applyFill="1" applyBorder="1" applyAlignment="1">
      <alignment horizontal="right" vertical="justify"/>
    </xf>
    <xf numFmtId="40" fontId="6" fillId="0" borderId="0" xfId="2" applyNumberFormat="1" applyFont="1" applyBorder="1"/>
    <xf numFmtId="0" fontId="6" fillId="0" borderId="0" xfId="2" applyFont="1" applyBorder="1"/>
    <xf numFmtId="40" fontId="6" fillId="0" borderId="0" xfId="2" applyNumberFormat="1" applyFont="1" applyBorder="1" applyAlignment="1">
      <alignment wrapText="1"/>
    </xf>
    <xf numFmtId="40" fontId="7" fillId="0" borderId="0" xfId="2" applyNumberFormat="1" applyFont="1" applyBorder="1"/>
    <xf numFmtId="0" fontId="7" fillId="0" borderId="0" xfId="2" applyFont="1" applyBorder="1"/>
    <xf numFmtId="0" fontId="4" fillId="0" borderId="0" xfId="2" applyFont="1" applyFill="1" applyAlignment="1">
      <alignment horizontal="center"/>
    </xf>
    <xf numFmtId="40" fontId="6" fillId="0" borderId="0" xfId="2" applyNumberFormat="1" applyFont="1" applyFill="1"/>
    <xf numFmtId="0" fontId="7" fillId="5" borderId="8" xfId="2" applyFont="1" applyFill="1" applyBorder="1" applyAlignment="1">
      <alignment horizontal="center" vertical="justify"/>
    </xf>
    <xf numFmtId="164" fontId="7" fillId="5" borderId="8" xfId="2" applyNumberFormat="1" applyFont="1" applyFill="1" applyBorder="1" applyAlignment="1">
      <alignment horizontal="center" vertical="justify"/>
    </xf>
    <xf numFmtId="1" fontId="7" fillId="5" borderId="8" xfId="2" applyNumberFormat="1" applyFont="1" applyFill="1" applyBorder="1" applyAlignment="1">
      <alignment horizontal="center" vertical="justify"/>
    </xf>
    <xf numFmtId="0" fontId="7" fillId="5" borderId="8" xfId="2" applyFont="1" applyFill="1" applyBorder="1" applyAlignment="1">
      <alignment horizontal="left" vertical="justify"/>
    </xf>
    <xf numFmtId="40" fontId="7" fillId="5" borderId="8" xfId="2" applyNumberFormat="1" applyFont="1" applyFill="1" applyBorder="1" applyAlignment="1">
      <alignment horizontal="center" vertical="justify"/>
    </xf>
    <xf numFmtId="0" fontId="6" fillId="0" borderId="0" xfId="2" applyFont="1" applyBorder="1" applyAlignment="1">
      <alignment vertical="justify"/>
    </xf>
    <xf numFmtId="43" fontId="6" fillId="0" borderId="0" xfId="1" applyFont="1" applyBorder="1"/>
    <xf numFmtId="43" fontId="6" fillId="0" borderId="0" xfId="2" applyNumberFormat="1" applyFont="1" applyBorder="1"/>
    <xf numFmtId="0" fontId="8" fillId="5" borderId="0" xfId="2" applyFont="1" applyFill="1" applyBorder="1" applyAlignment="1">
      <alignment vertical="justify"/>
    </xf>
    <xf numFmtId="0" fontId="8" fillId="5" borderId="0" xfId="2" applyFont="1" applyFill="1" applyBorder="1"/>
    <xf numFmtId="14" fontId="8" fillId="5" borderId="0" xfId="3" applyNumberFormat="1" applyFont="1" applyFill="1" applyBorder="1" applyAlignment="1">
      <alignment horizontal="left"/>
    </xf>
    <xf numFmtId="0" fontId="8" fillId="5" borderId="0" xfId="2" applyFont="1" applyFill="1" applyBorder="1" applyAlignment="1">
      <alignment horizontal="left"/>
    </xf>
    <xf numFmtId="43" fontId="6" fillId="10" borderId="0" xfId="1" applyFont="1" applyFill="1" applyBorder="1"/>
    <xf numFmtId="0" fontId="7" fillId="0" borderId="0" xfId="2" applyFont="1" applyBorder="1" applyAlignment="1">
      <alignment horizontal="left"/>
    </xf>
    <xf numFmtId="43" fontId="7" fillId="0" borderId="3" xfId="1" applyFont="1" applyBorder="1"/>
    <xf numFmtId="4" fontId="6" fillId="0" borderId="0" xfId="2" applyNumberFormat="1" applyFont="1" applyFill="1" applyBorder="1"/>
    <xf numFmtId="4" fontId="7" fillId="0" borderId="3" xfId="2" applyNumberFormat="1" applyFont="1" applyBorder="1"/>
    <xf numFmtId="4" fontId="7" fillId="0" borderId="0" xfId="2" applyNumberFormat="1" applyFont="1" applyBorder="1"/>
    <xf numFmtId="43" fontId="7" fillId="0" borderId="3" xfId="2" applyNumberFormat="1" applyFont="1" applyBorder="1"/>
    <xf numFmtId="4" fontId="6" fillId="0" borderId="0" xfId="2" applyNumberFormat="1" applyFont="1" applyBorder="1"/>
    <xf numFmtId="4" fontId="7" fillId="0" borderId="5" xfId="2" applyNumberFormat="1" applyFont="1" applyBorder="1"/>
    <xf numFmtId="1" fontId="7" fillId="7" borderId="0" xfId="2" applyNumberFormat="1" applyFont="1" applyFill="1" applyBorder="1" applyAlignment="1">
      <alignment horizontal="center"/>
    </xf>
    <xf numFmtId="14" fontId="6" fillId="0" borderId="0" xfId="2" applyNumberFormat="1" applyFont="1" applyBorder="1"/>
    <xf numFmtId="43" fontId="6" fillId="0" borderId="3" xfId="2" applyNumberFormat="1" applyFont="1" applyBorder="1"/>
    <xf numFmtId="4" fontId="7" fillId="0" borderId="7" xfId="2" applyNumberFormat="1" applyFont="1" applyBorder="1"/>
    <xf numFmtId="0" fontId="4" fillId="0" borderId="0" xfId="2" applyFont="1" applyAlignment="1">
      <alignment horizontal="left"/>
    </xf>
    <xf numFmtId="0" fontId="6" fillId="0" borderId="0" xfId="4" applyFont="1" applyFill="1" applyAlignment="1">
      <alignment horizontal="center"/>
    </xf>
    <xf numFmtId="43" fontId="6" fillId="0" borderId="0" xfId="4" applyNumberFormat="1" applyFont="1" applyFill="1" applyAlignment="1">
      <alignment horizontal="center"/>
    </xf>
    <xf numFmtId="0" fontId="6" fillId="0" borderId="0" xfId="4" applyFont="1" applyFill="1"/>
    <xf numFmtId="0" fontId="6" fillId="0" borderId="0" xfId="4" applyFont="1" applyFill="1" applyAlignment="1">
      <alignment horizontal="left"/>
    </xf>
    <xf numFmtId="40" fontId="6" fillId="0" borderId="0" xfId="4" applyNumberFormat="1" applyFont="1" applyFill="1"/>
    <xf numFmtId="0" fontId="7" fillId="5" borderId="1" xfId="4" applyFont="1" applyFill="1" applyBorder="1" applyAlignment="1">
      <alignment horizontal="center" vertical="justify"/>
    </xf>
    <xf numFmtId="164" fontId="7" fillId="5" borderId="1" xfId="4" applyNumberFormat="1" applyFont="1" applyFill="1" applyBorder="1" applyAlignment="1">
      <alignment horizontal="center" vertical="justify"/>
    </xf>
    <xf numFmtId="1" fontId="7" fillId="5" borderId="1" xfId="4" applyNumberFormat="1" applyFont="1" applyFill="1" applyBorder="1" applyAlignment="1">
      <alignment horizontal="center" vertical="justify"/>
    </xf>
    <xf numFmtId="40" fontId="7" fillId="5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vertical="justify"/>
    </xf>
    <xf numFmtId="0" fontId="7" fillId="0" borderId="0" xfId="4" applyFont="1" applyFill="1" applyAlignment="1">
      <alignment horizontal="center" vertical="justify"/>
    </xf>
    <xf numFmtId="0" fontId="4" fillId="0" borderId="0" xfId="2" applyFont="1" applyBorder="1"/>
    <xf numFmtId="0" fontId="4" fillId="0" borderId="0" xfId="2" applyFont="1" applyBorder="1" applyAlignment="1">
      <alignment horizontal="left"/>
    </xf>
    <xf numFmtId="4" fontId="6" fillId="0" borderId="9" xfId="4" applyNumberFormat="1" applyFont="1" applyFill="1" applyBorder="1"/>
    <xf numFmtId="1" fontId="6" fillId="0" borderId="0" xfId="4" applyNumberFormat="1" applyFont="1" applyFill="1" applyBorder="1"/>
    <xf numFmtId="0" fontId="7" fillId="0" borderId="0" xfId="4" applyFont="1" applyFill="1"/>
    <xf numFmtId="4" fontId="7" fillId="0" borderId="10" xfId="4" applyNumberFormat="1" applyFont="1" applyFill="1" applyBorder="1"/>
    <xf numFmtId="4" fontId="7" fillId="0" borderId="0" xfId="4" applyNumberFormat="1" applyFont="1" applyFill="1" applyBorder="1"/>
    <xf numFmtId="0" fontId="14" fillId="0" borderId="0" xfId="2" applyFont="1"/>
    <xf numFmtId="0" fontId="4" fillId="0" borderId="0" xfId="4" applyFont="1" applyAlignment="1"/>
    <xf numFmtId="0" fontId="6" fillId="0" borderId="0" xfId="2" applyFont="1" applyFill="1" applyAlignment="1">
      <alignment horizontal="center" wrapText="1"/>
    </xf>
    <xf numFmtId="4" fontId="6" fillId="0" borderId="0" xfId="2" applyNumberFormat="1" applyFont="1" applyFill="1" applyAlignment="1">
      <alignment horizontal="center" wrapText="1"/>
    </xf>
    <xf numFmtId="0" fontId="4" fillId="0" borderId="0" xfId="2" applyFont="1" applyFill="1" applyAlignment="1">
      <alignment wrapText="1"/>
    </xf>
    <xf numFmtId="43" fontId="4" fillId="0" borderId="0" xfId="2" applyNumberFormat="1" applyFont="1" applyFill="1"/>
    <xf numFmtId="4" fontId="4" fillId="0" borderId="0" xfId="2" applyNumberFormat="1" applyFont="1" applyFill="1"/>
    <xf numFmtId="0" fontId="15" fillId="0" borderId="0" xfId="2" applyFont="1"/>
    <xf numFmtId="0" fontId="16" fillId="0" borderId="0" xfId="2" applyFont="1" applyAlignment="1">
      <alignment vertical="justify"/>
    </xf>
    <xf numFmtId="43" fontId="4" fillId="0" borderId="0" xfId="1" applyFont="1" applyBorder="1"/>
    <xf numFmtId="40" fontId="4" fillId="0" borderId="0" xfId="2" applyNumberFormat="1" applyFont="1" applyFill="1" applyBorder="1" applyAlignment="1">
      <alignment horizontal="right"/>
    </xf>
    <xf numFmtId="4" fontId="4" fillId="0" borderId="0" xfId="2" applyNumberFormat="1" applyFont="1" applyBorder="1"/>
    <xf numFmtId="43" fontId="4" fillId="0" borderId="0" xfId="2" applyNumberFormat="1" applyFont="1" applyBorder="1"/>
    <xf numFmtId="1" fontId="6" fillId="0" borderId="0" xfId="2" applyNumberFormat="1" applyFont="1" applyFill="1" applyBorder="1"/>
    <xf numFmtId="0" fontId="4" fillId="0" borderId="0" xfId="2" applyFont="1" applyFill="1" applyBorder="1"/>
    <xf numFmtId="0" fontId="16" fillId="0" borderId="0" xfId="2" applyFont="1" applyFill="1" applyBorder="1"/>
    <xf numFmtId="0" fontId="4" fillId="0" borderId="0" xfId="2" applyFont="1" applyFill="1" applyBorder="1" applyAlignment="1">
      <alignment horizontal="left"/>
    </xf>
    <xf numFmtId="4" fontId="4" fillId="0" borderId="0" xfId="2" applyNumberFormat="1" applyFont="1" applyFill="1" applyBorder="1"/>
    <xf numFmtId="43" fontId="4" fillId="0" borderId="0" xfId="2" applyNumberFormat="1" applyFont="1" applyFill="1" applyBorder="1"/>
    <xf numFmtId="0" fontId="4" fillId="15" borderId="0" xfId="2" applyFont="1" applyFill="1" applyBorder="1"/>
    <xf numFmtId="0" fontId="4" fillId="15" borderId="0" xfId="2" applyFont="1" applyFill="1" applyBorder="1" applyAlignment="1">
      <alignment horizontal="left"/>
    </xf>
    <xf numFmtId="1" fontId="6" fillId="15" borderId="0" xfId="2" applyNumberFormat="1" applyFont="1" applyFill="1" applyBorder="1"/>
    <xf numFmtId="4" fontId="16" fillId="0" borderId="0" xfId="2" applyNumberFormat="1" applyFont="1" applyBorder="1"/>
    <xf numFmtId="40" fontId="4" fillId="0" borderId="0" xfId="2" applyNumberFormat="1" applyFont="1" applyBorder="1"/>
    <xf numFmtId="4" fontId="4" fillId="0" borderId="0" xfId="2" applyNumberFormat="1" applyFont="1" applyBorder="1" applyAlignment="1">
      <alignment horizontal="left"/>
    </xf>
    <xf numFmtId="4" fontId="4" fillId="0" borderId="0" xfId="2" applyNumberFormat="1" applyFont="1"/>
    <xf numFmtId="43" fontId="4" fillId="0" borderId="0" xfId="2" applyNumberFormat="1" applyFont="1"/>
    <xf numFmtId="43" fontId="18" fillId="0" borderId="0" xfId="1" applyFont="1" applyBorder="1"/>
    <xf numFmtId="0" fontId="4" fillId="0" borderId="0" xfId="2" applyFont="1" applyBorder="1" applyAlignment="1"/>
    <xf numFmtId="43" fontId="6" fillId="0" borderId="0" xfId="2" applyNumberFormat="1" applyFont="1" applyBorder="1" applyAlignment="1"/>
    <xf numFmtId="1" fontId="6" fillId="0" borderId="0" xfId="2" applyNumberFormat="1" applyFont="1" applyFill="1" applyBorder="1" applyAlignment="1"/>
    <xf numFmtId="40" fontId="4" fillId="0" borderId="0" xfId="4" applyNumberFormat="1" applyFont="1"/>
    <xf numFmtId="168" fontId="4" fillId="0" borderId="0" xfId="4" applyNumberFormat="1" applyFont="1"/>
    <xf numFmtId="0" fontId="4" fillId="0" borderId="0" xfId="4" applyFont="1" applyAlignment="1">
      <alignment vertical="justify"/>
    </xf>
    <xf numFmtId="168" fontId="7" fillId="2" borderId="1" xfId="4" applyNumberFormat="1" applyFont="1" applyFill="1" applyBorder="1" applyAlignment="1">
      <alignment horizontal="right" vertical="justify"/>
    </xf>
    <xf numFmtId="0" fontId="7" fillId="2" borderId="1" xfId="4" applyFont="1" applyFill="1" applyBorder="1" applyAlignment="1">
      <alignment horizontal="right" vertical="justify"/>
    </xf>
    <xf numFmtId="168" fontId="6" fillId="0" borderId="0" xfId="4" applyNumberFormat="1" applyFont="1"/>
    <xf numFmtId="0" fontId="2" fillId="0" borderId="0" xfId="2"/>
    <xf numFmtId="40" fontId="2" fillId="0" borderId="0" xfId="2" applyNumberFormat="1"/>
    <xf numFmtId="0" fontId="10" fillId="0" borderId="0" xfId="2" applyFont="1"/>
    <xf numFmtId="40" fontId="10" fillId="0" borderId="7" xfId="2" applyNumberFormat="1" applyFont="1" applyBorder="1"/>
    <xf numFmtId="40" fontId="2" fillId="0" borderId="5" xfId="2" applyNumberFormat="1" applyBorder="1"/>
    <xf numFmtId="40" fontId="2" fillId="0" borderId="3" xfId="2" applyNumberFormat="1" applyBorder="1"/>
    <xf numFmtId="40" fontId="6" fillId="0" borderId="0" xfId="4" applyNumberFormat="1" applyFont="1" applyAlignment="1">
      <alignment vertical="justify"/>
    </xf>
    <xf numFmtId="38" fontId="6" fillId="0" borderId="0" xfId="2" applyNumberFormat="1" applyFont="1" applyFill="1" applyAlignment="1">
      <alignment horizontal="right"/>
    </xf>
    <xf numFmtId="0" fontId="6" fillId="0" borderId="0" xfId="4" applyFont="1" applyFill="1" applyAlignment="1">
      <alignment wrapText="1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  <xf numFmtId="0" fontId="7" fillId="2" borderId="1" xfId="3" applyFont="1" applyFill="1" applyBorder="1"/>
    <xf numFmtId="43" fontId="6" fillId="0" borderId="0" xfId="1" applyFont="1" applyFill="1"/>
    <xf numFmtId="43" fontId="6" fillId="0" borderId="0" xfId="1" applyFont="1" applyFill="1" applyAlignment="1">
      <alignment horizontal="left" wrapText="1"/>
    </xf>
    <xf numFmtId="43" fontId="6" fillId="0" borderId="0" xfId="1" applyFont="1" applyFill="1" applyAlignment="1">
      <alignment wrapText="1"/>
    </xf>
    <xf numFmtId="4" fontId="6" fillId="0" borderId="0" xfId="3" applyNumberFormat="1" applyFont="1" applyFill="1"/>
    <xf numFmtId="4" fontId="19" fillId="0" borderId="0" xfId="3" applyNumberFormat="1" applyFont="1" applyFill="1"/>
    <xf numFmtId="4" fontId="6" fillId="0" borderId="0" xfId="3" applyNumberFormat="1" applyFont="1" applyFill="1" applyAlignment="1">
      <alignment wrapText="1"/>
    </xf>
    <xf numFmtId="0" fontId="6" fillId="9" borderId="0" xfId="3" applyFont="1" applyFill="1"/>
    <xf numFmtId="0" fontId="6" fillId="9" borderId="0" xfId="3" applyFont="1" applyFill="1" applyAlignment="1">
      <alignment horizontal="center"/>
    </xf>
    <xf numFmtId="4" fontId="6" fillId="9" borderId="0" xfId="3" applyNumberFormat="1" applyFont="1" applyFill="1"/>
    <xf numFmtId="4" fontId="6" fillId="9" borderId="0" xfId="3" applyNumberFormat="1" applyFont="1" applyFill="1" applyAlignment="1">
      <alignment wrapText="1"/>
    </xf>
    <xf numFmtId="4" fontId="7" fillId="0" borderId="6" xfId="3" applyNumberFormat="1" applyFont="1" applyFill="1" applyBorder="1"/>
    <xf numFmtId="4" fontId="7" fillId="0" borderId="0" xfId="3" applyNumberFormat="1" applyFont="1" applyFill="1" applyBorder="1"/>
    <xf numFmtId="0" fontId="20" fillId="0" borderId="0" xfId="3" applyFont="1" applyFill="1"/>
    <xf numFmtId="40" fontId="6" fillId="3" borderId="0" xfId="2" applyNumberFormat="1" applyFont="1" applyFill="1" applyAlignment="1">
      <alignment horizontal="right"/>
    </xf>
    <xf numFmtId="40" fontId="6" fillId="3" borderId="0" xfId="2" applyNumberFormat="1" applyFont="1" applyFill="1" applyAlignment="1"/>
    <xf numFmtId="40" fontId="6" fillId="11" borderId="0" xfId="2" applyNumberFormat="1" applyFont="1" applyFill="1" applyAlignment="1"/>
    <xf numFmtId="43" fontId="11" fillId="0" borderId="0" xfId="1" applyFont="1" applyFill="1" applyBorder="1" applyAlignment="1"/>
    <xf numFmtId="0" fontId="6" fillId="0" borderId="0" xfId="3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4" fontId="6" fillId="3" borderId="0" xfId="1" applyNumberFormat="1" applyFont="1" applyFill="1" applyBorder="1" applyAlignment="1">
      <alignment horizontal="right"/>
    </xf>
    <xf numFmtId="4" fontId="6" fillId="3" borderId="0" xfId="1" applyNumberFormat="1" applyFont="1" applyFill="1" applyBorder="1" applyAlignment="1">
      <alignment horizontal="left"/>
    </xf>
    <xf numFmtId="43" fontId="11" fillId="0" borderId="0" xfId="1" applyFont="1" applyFill="1" applyBorder="1" applyAlignment="1">
      <alignment vertical="center"/>
    </xf>
    <xf numFmtId="40" fontId="6" fillId="3" borderId="0" xfId="1" applyNumberFormat="1" applyFont="1" applyFill="1" applyBorder="1" applyAlignment="1">
      <alignment horizontal="left"/>
    </xf>
    <xf numFmtId="0" fontId="6" fillId="0" borderId="0" xfId="2" applyFont="1" applyFill="1" applyBorder="1" applyAlignment="1">
      <alignment horizontal="center"/>
    </xf>
    <xf numFmtId="49" fontId="8" fillId="0" borderId="0" xfId="2" applyNumberFormat="1" applyFont="1" applyFill="1" applyAlignment="1">
      <alignment horizontal="left"/>
    </xf>
    <xf numFmtId="0" fontId="8" fillId="0" borderId="0" xfId="2" applyFont="1" applyFill="1" applyAlignment="1">
      <alignment horizontal="left"/>
    </xf>
    <xf numFmtId="14" fontId="8" fillId="0" borderId="0" xfId="2" applyNumberFormat="1" applyFont="1" applyFill="1" applyAlignment="1">
      <alignment horizontal="left"/>
    </xf>
    <xf numFmtId="164" fontId="8" fillId="0" borderId="0" xfId="2" applyNumberFormat="1" applyFont="1" applyFill="1" applyAlignment="1">
      <alignment horizontal="left"/>
    </xf>
    <xf numFmtId="1" fontId="8" fillId="0" borderId="0" xfId="2" applyNumberFormat="1" applyFont="1" applyFill="1" applyAlignment="1">
      <alignment horizontal="left"/>
    </xf>
    <xf numFmtId="40" fontId="8" fillId="0" borderId="0" xfId="2" applyNumberFormat="1" applyFont="1" applyFill="1" applyAlignment="1">
      <alignment horizontal="right"/>
    </xf>
    <xf numFmtId="0" fontId="8" fillId="0" borderId="0" xfId="2" applyFont="1" applyFill="1" applyAlignment="1">
      <alignment horizontal="center"/>
    </xf>
    <xf numFmtId="40" fontId="8" fillId="0" borderId="0" xfId="2" applyNumberFormat="1" applyFont="1" applyFill="1" applyAlignment="1"/>
    <xf numFmtId="0" fontId="8" fillId="0" borderId="0" xfId="2" applyFont="1" applyFill="1"/>
    <xf numFmtId="1" fontId="8" fillId="0" borderId="0" xfId="2" applyNumberFormat="1" applyFont="1" applyFill="1" applyAlignment="1">
      <alignment horizontal="center"/>
    </xf>
    <xf numFmtId="49" fontId="9" fillId="0" borderId="0" xfId="2" applyNumberFormat="1" applyFont="1" applyFill="1" applyBorder="1" applyAlignment="1">
      <alignment horizontal="left"/>
    </xf>
    <xf numFmtId="0" fontId="6" fillId="0" borderId="0" xfId="2" applyFont="1" applyFill="1" applyAlignment="1"/>
    <xf numFmtId="0" fontId="6" fillId="0" borderId="0" xfId="2" applyFont="1" applyFill="1" applyBorder="1" applyAlignment="1">
      <alignment vertical="center"/>
    </xf>
    <xf numFmtId="40" fontId="2" fillId="0" borderId="0" xfId="1" applyNumberFormat="1" applyFont="1" applyFill="1" applyBorder="1" applyAlignment="1"/>
    <xf numFmtId="0" fontId="6" fillId="0" borderId="0" xfId="2" applyFont="1" applyFill="1" applyAlignment="1">
      <alignment vertical="justify"/>
    </xf>
    <xf numFmtId="0" fontId="11" fillId="0" borderId="0" xfId="2" applyFont="1" applyFill="1" applyBorder="1" applyAlignment="1">
      <alignment horizontal="left" vertical="center"/>
    </xf>
    <xf numFmtId="0" fontId="6" fillId="0" borderId="0" xfId="0" applyFont="1" applyFill="1" applyAlignment="1"/>
    <xf numFmtId="0" fontId="8" fillId="0" borderId="0" xfId="2" applyFont="1" applyFill="1" applyBorder="1" applyAlignment="1"/>
    <xf numFmtId="0" fontId="8" fillId="0" borderId="0" xfId="2" applyFont="1" applyFill="1" applyBorder="1" applyAlignment="1">
      <alignment horizontal="left" vertical="center"/>
    </xf>
    <xf numFmtId="40" fontId="7" fillId="0" borderId="6" xfId="0" applyNumberFormat="1" applyFont="1" applyFill="1" applyBorder="1"/>
    <xf numFmtId="40" fontId="7" fillId="0" borderId="0" xfId="0" applyNumberFormat="1" applyFont="1" applyFill="1" applyBorder="1"/>
    <xf numFmtId="0" fontId="12" fillId="0" borderId="0" xfId="2" applyFont="1" applyFill="1" applyBorder="1" applyAlignment="1">
      <alignment wrapText="1"/>
    </xf>
    <xf numFmtId="0" fontId="12" fillId="0" borderId="0" xfId="2" applyFont="1" applyFill="1" applyBorder="1" applyAlignment="1"/>
    <xf numFmtId="0" fontId="2" fillId="0" borderId="0" xfId="2" applyFill="1" applyBorder="1" applyAlignment="1"/>
    <xf numFmtId="0" fontId="2" fillId="0" borderId="0" xfId="2" applyFill="1" applyBorder="1" applyAlignment="1">
      <alignment wrapText="1"/>
    </xf>
    <xf numFmtId="0" fontId="7" fillId="0" borderId="0" xfId="4" applyFont="1" applyFill="1" applyBorder="1"/>
    <xf numFmtId="40" fontId="7" fillId="0" borderId="3" xfId="4" applyNumberFormat="1" applyFont="1" applyFill="1" applyBorder="1"/>
    <xf numFmtId="0" fontId="6" fillId="0" borderId="0" xfId="4" applyFont="1" applyAlignment="1"/>
    <xf numFmtId="0" fontId="6" fillId="0" borderId="0" xfId="4" applyFont="1" applyFill="1" applyAlignment="1">
      <alignment horizontal="left" vertical="center"/>
    </xf>
    <xf numFmtId="0" fontId="6" fillId="0" borderId="0" xfId="4" applyFont="1" applyFill="1" applyAlignment="1"/>
    <xf numFmtId="2" fontId="6" fillId="0" borderId="0" xfId="1" applyNumberFormat="1" applyFont="1" applyAlignment="1"/>
    <xf numFmtId="43" fontId="6" fillId="0" borderId="0" xfId="1" applyNumberFormat="1" applyFont="1" applyAlignment="1"/>
    <xf numFmtId="1" fontId="6" fillId="0" borderId="0" xfId="4" applyNumberFormat="1" applyFont="1" applyFill="1" applyBorder="1" applyAlignment="1"/>
    <xf numFmtId="4" fontId="6" fillId="0" borderId="0" xfId="4" applyNumberFormat="1" applyFont="1" applyFill="1" applyBorder="1" applyAlignment="1"/>
    <xf numFmtId="164" fontId="6" fillId="0" borderId="0" xfId="4" applyNumberFormat="1" applyFont="1" applyFill="1" applyAlignment="1"/>
    <xf numFmtId="0" fontId="7" fillId="5" borderId="1" xfId="3" applyFont="1" applyFill="1" applyBorder="1" applyAlignment="1">
      <alignment horizontal="center" vertical="justify"/>
    </xf>
    <xf numFmtId="0" fontId="7" fillId="5" borderId="1" xfId="2" applyFont="1" applyFill="1" applyBorder="1" applyAlignment="1">
      <alignment vertical="justify"/>
    </xf>
    <xf numFmtId="164" fontId="7" fillId="5" borderId="1" xfId="2" applyNumberFormat="1" applyFont="1" applyFill="1" applyBorder="1" applyAlignment="1">
      <alignment vertical="justify"/>
    </xf>
    <xf numFmtId="1" fontId="7" fillId="5" borderId="1" xfId="2" applyNumberFormat="1" applyFont="1" applyFill="1" applyBorder="1" applyAlignment="1">
      <alignment vertical="justify"/>
    </xf>
    <xf numFmtId="40" fontId="7" fillId="5" borderId="1" xfId="2" applyNumberFormat="1" applyFont="1" applyFill="1" applyBorder="1" applyAlignment="1">
      <alignment vertical="justify"/>
    </xf>
    <xf numFmtId="4" fontId="7" fillId="0" borderId="6" xfId="2" applyNumberFormat="1" applyFont="1" applyBorder="1"/>
    <xf numFmtId="4" fontId="7" fillId="0" borderId="6" xfId="4" applyNumberFormat="1" applyFont="1" applyFill="1" applyBorder="1"/>
    <xf numFmtId="40" fontId="7" fillId="5" borderId="2" xfId="2" applyNumberFormat="1" applyFont="1" applyFill="1" applyBorder="1" applyAlignment="1">
      <alignment horizontal="right" vertical="justify"/>
    </xf>
    <xf numFmtId="40" fontId="7" fillId="5" borderId="4" xfId="2" applyNumberFormat="1" applyFont="1" applyFill="1" applyBorder="1" applyAlignment="1">
      <alignment horizontal="right" vertical="justify"/>
    </xf>
    <xf numFmtId="0" fontId="7" fillId="5" borderId="0" xfId="2" applyFont="1" applyFill="1" applyBorder="1" applyAlignment="1">
      <alignment vertical="justify"/>
    </xf>
    <xf numFmtId="0" fontId="7" fillId="5" borderId="0" xfId="2" applyFont="1" applyFill="1" applyBorder="1" applyAlignment="1">
      <alignment horizontal="right" vertical="justify"/>
    </xf>
    <xf numFmtId="0" fontId="8" fillId="0" borderId="0" xfId="2" applyFont="1" applyFill="1" applyBorder="1" applyAlignment="1">
      <alignment horizontal="center"/>
    </xf>
    <xf numFmtId="0" fontId="8" fillId="0" borderId="0" xfId="2" applyFont="1" applyFill="1" applyBorder="1" applyAlignment="1">
      <alignment horizontal="right"/>
    </xf>
    <xf numFmtId="40" fontId="6" fillId="0" borderId="0" xfId="0" applyNumberFormat="1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40" fontId="7" fillId="0" borderId="0" xfId="4" applyNumberFormat="1" applyFont="1" applyFill="1" applyBorder="1"/>
    <xf numFmtId="0" fontId="7" fillId="5" borderId="2" xfId="3" applyFont="1" applyFill="1" applyBorder="1" applyAlignment="1">
      <alignment horizontal="center" vertical="justify"/>
    </xf>
    <xf numFmtId="40" fontId="7" fillId="2" borderId="4" xfId="2" applyNumberFormat="1" applyFont="1" applyFill="1" applyBorder="1" applyAlignment="1">
      <alignment horizontal="right" vertical="justify"/>
    </xf>
    <xf numFmtId="0" fontId="6" fillId="0" borderId="0" xfId="2" applyFont="1" applyFill="1" applyBorder="1" applyAlignment="1">
      <alignment horizontal="center" wrapText="1"/>
    </xf>
    <xf numFmtId="0" fontId="16" fillId="5" borderId="0" xfId="2" applyFont="1" applyFill="1" applyBorder="1" applyAlignment="1">
      <alignment vertical="justify"/>
    </xf>
    <xf numFmtId="4" fontId="17" fillId="0" borderId="0" xfId="2" applyNumberFormat="1" applyFont="1" applyBorder="1"/>
    <xf numFmtId="43" fontId="6" fillId="0" borderId="0" xfId="2" applyNumberFormat="1" applyFont="1" applyFill="1"/>
    <xf numFmtId="0" fontId="8" fillId="5" borderId="0" xfId="3" applyFont="1" applyFill="1" applyBorder="1" applyAlignment="1">
      <alignment horizontal="left"/>
    </xf>
    <xf numFmtId="0" fontId="6" fillId="16" borderId="0" xfId="2" applyFont="1" applyFill="1" applyBorder="1" applyAlignment="1">
      <alignment horizontal="left"/>
    </xf>
    <xf numFmtId="0" fontId="6" fillId="16" borderId="0" xfId="2" applyFont="1" applyFill="1" applyBorder="1" applyAlignment="1">
      <alignment horizontal="right"/>
    </xf>
    <xf numFmtId="164" fontId="6" fillId="16" borderId="0" xfId="2" applyNumberFormat="1" applyFont="1" applyFill="1" applyBorder="1" applyAlignment="1">
      <alignment horizontal="right"/>
    </xf>
    <xf numFmtId="164" fontId="6" fillId="16" borderId="0" xfId="2" applyNumberFormat="1" applyFont="1" applyFill="1" applyAlignment="1">
      <alignment horizontal="left"/>
    </xf>
    <xf numFmtId="1" fontId="6" fillId="16" borderId="0" xfId="2" applyNumberFormat="1" applyFont="1" applyFill="1" applyBorder="1" applyAlignment="1">
      <alignment horizontal="right"/>
    </xf>
    <xf numFmtId="40" fontId="6" fillId="16" borderId="0" xfId="1" applyNumberFormat="1" applyFont="1" applyFill="1" applyBorder="1" applyAlignment="1">
      <alignment horizontal="right"/>
    </xf>
    <xf numFmtId="0" fontId="6" fillId="16" borderId="0" xfId="2" applyFont="1" applyFill="1" applyBorder="1" applyAlignment="1">
      <alignment horizontal="center"/>
    </xf>
    <xf numFmtId="40" fontId="6" fillId="16" borderId="0" xfId="2" applyNumberFormat="1" applyFont="1" applyFill="1" applyAlignment="1">
      <alignment horizontal="right"/>
    </xf>
    <xf numFmtId="40" fontId="6" fillId="16" borderId="0" xfId="2" applyNumberFormat="1" applyFont="1" applyFill="1" applyAlignment="1"/>
    <xf numFmtId="0" fontId="6" fillId="16" borderId="0" xfId="2" applyFont="1" applyFill="1" applyAlignment="1">
      <alignment horizontal="center"/>
    </xf>
    <xf numFmtId="1" fontId="6" fillId="16" borderId="0" xfId="2" applyNumberFormat="1" applyFont="1" applyFill="1" applyBorder="1" applyAlignment="1">
      <alignment horizontal="center"/>
    </xf>
    <xf numFmtId="1" fontId="6" fillId="16" borderId="0" xfId="2" applyNumberFormat="1" applyFont="1" applyFill="1" applyAlignment="1">
      <alignment horizontal="left"/>
    </xf>
    <xf numFmtId="40" fontId="6" fillId="16" borderId="0" xfId="2" applyNumberFormat="1" applyFont="1" applyFill="1" applyBorder="1" applyAlignment="1">
      <alignment horizontal="right"/>
    </xf>
    <xf numFmtId="0" fontId="6" fillId="16" borderId="0" xfId="2" applyFont="1" applyFill="1"/>
    <xf numFmtId="1" fontId="6" fillId="16" borderId="0" xfId="2" applyNumberFormat="1" applyFont="1" applyFill="1" applyAlignment="1">
      <alignment horizontal="center"/>
    </xf>
    <xf numFmtId="14" fontId="6" fillId="16" borderId="0" xfId="2" applyNumberFormat="1" applyFont="1" applyFill="1" applyBorder="1" applyAlignment="1">
      <alignment horizontal="right"/>
    </xf>
    <xf numFmtId="1" fontId="8" fillId="7" borderId="0" xfId="3" applyNumberFormat="1" applyFont="1" applyFill="1" applyBorder="1" applyAlignment="1">
      <alignment horizontal="center"/>
    </xf>
    <xf numFmtId="166" fontId="8" fillId="0" borderId="0" xfId="3" applyNumberFormat="1" applyFont="1" applyFill="1" applyBorder="1" applyAlignment="1">
      <alignment horizontal="left"/>
    </xf>
    <xf numFmtId="43" fontId="8" fillId="0" borderId="0" xfId="1" applyFont="1" applyFill="1" applyBorder="1" applyAlignment="1">
      <alignment horizontal="left"/>
    </xf>
    <xf numFmtId="164" fontId="8" fillId="0" borderId="0" xfId="1" applyNumberFormat="1" applyFont="1" applyFill="1" applyBorder="1" applyAlignment="1">
      <alignment horizontal="left"/>
    </xf>
    <xf numFmtId="1" fontId="8" fillId="0" borderId="0" xfId="1" applyNumberFormat="1" applyFont="1" applyFill="1" applyBorder="1" applyAlignment="1">
      <alignment horizontal="left"/>
    </xf>
    <xf numFmtId="4" fontId="8" fillId="0" borderId="0" xfId="1" applyNumberFormat="1" applyFont="1" applyFill="1" applyBorder="1" applyAlignment="1">
      <alignment horizontal="right"/>
    </xf>
    <xf numFmtId="4" fontId="8" fillId="0" borderId="0" xfId="3" applyNumberFormat="1" applyFont="1" applyFill="1" applyBorder="1" applyAlignment="1">
      <alignment horizontal="right"/>
    </xf>
    <xf numFmtId="40" fontId="4" fillId="0" borderId="0" xfId="2" applyNumberFormat="1" applyFont="1"/>
    <xf numFmtId="0" fontId="2" fillId="0" borderId="0" xfId="2" applyFont="1" applyFill="1" applyBorder="1" applyAlignment="1"/>
    <xf numFmtId="4" fontId="2" fillId="0" borderId="0" xfId="2" applyNumberFormat="1" applyFill="1" applyBorder="1" applyAlignment="1"/>
    <xf numFmtId="0" fontId="6" fillId="0" borderId="0" xfId="2" applyFont="1" applyFill="1" applyAlignment="1">
      <alignment horizontal="center"/>
    </xf>
    <xf numFmtId="0" fontId="6" fillId="0" borderId="0" xfId="2" applyFont="1" applyAlignment="1">
      <alignment horizontal="center"/>
    </xf>
    <xf numFmtId="164" fontId="6" fillId="0" borderId="0" xfId="2" applyNumberFormat="1" applyFont="1" applyFill="1" applyAlignment="1">
      <alignment horizontal="center"/>
    </xf>
    <xf numFmtId="40" fontId="6" fillId="0" borderId="0" xfId="2" applyNumberFormat="1" applyFont="1" applyFill="1" applyBorder="1"/>
    <xf numFmtId="0" fontId="6" fillId="0" borderId="0" xfId="4" applyFont="1" applyFill="1" applyAlignment="1">
      <alignment horizontal="center"/>
    </xf>
    <xf numFmtId="0" fontId="3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164" fontId="7" fillId="5" borderId="2" xfId="4" applyNumberFormat="1" applyFont="1" applyFill="1" applyBorder="1" applyAlignment="1">
      <alignment horizontal="center"/>
    </xf>
    <xf numFmtId="164" fontId="7" fillId="5" borderId="3" xfId="4" applyNumberFormat="1" applyFont="1" applyFill="1" applyBorder="1" applyAlignment="1">
      <alignment horizontal="center"/>
    </xf>
    <xf numFmtId="164" fontId="7" fillId="5" borderId="4" xfId="4" applyNumberFormat="1" applyFont="1" applyFill="1" applyBorder="1" applyAlignment="1">
      <alignment horizontal="center"/>
    </xf>
    <xf numFmtId="40" fontId="7" fillId="2" borderId="2" xfId="4" applyNumberFormat="1" applyFont="1" applyFill="1" applyBorder="1" applyAlignment="1">
      <alignment horizontal="center"/>
    </xf>
    <xf numFmtId="40" fontId="7" fillId="2" borderId="3" xfId="4" applyNumberFormat="1" applyFont="1" applyFill="1" applyBorder="1" applyAlignment="1">
      <alignment horizontal="center"/>
    </xf>
    <xf numFmtId="40" fontId="7" fillId="2" borderId="4" xfId="4" applyNumberFormat="1" applyFont="1" applyFill="1" applyBorder="1" applyAlignment="1">
      <alignment horizontal="center"/>
    </xf>
    <xf numFmtId="0" fontId="7" fillId="0" borderId="0" xfId="4" applyFont="1" applyFill="1" applyAlignment="1">
      <alignment horizontal="center"/>
    </xf>
    <xf numFmtId="0" fontId="6" fillId="0" borderId="0" xfId="4" applyFont="1" applyFill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164" fontId="7" fillId="5" borderId="2" xfId="2" applyNumberFormat="1" applyFont="1" applyFill="1" applyBorder="1" applyAlignment="1">
      <alignment horizontal="center"/>
    </xf>
    <xf numFmtId="164" fontId="7" fillId="5" borderId="3" xfId="2" applyNumberFormat="1" applyFont="1" applyFill="1" applyBorder="1" applyAlignment="1">
      <alignment horizontal="center"/>
    </xf>
    <xf numFmtId="164" fontId="7" fillId="5" borderId="4" xfId="2" applyNumberFormat="1" applyFont="1" applyFill="1" applyBorder="1" applyAlignment="1">
      <alignment horizontal="center"/>
    </xf>
    <xf numFmtId="0" fontId="3" fillId="0" borderId="0" xfId="2" applyFont="1" applyFill="1" applyAlignment="1">
      <alignment horizontal="center"/>
    </xf>
    <xf numFmtId="0" fontId="5" fillId="0" borderId="0" xfId="2" applyFont="1" applyFill="1" applyAlignment="1">
      <alignment horizontal="center"/>
    </xf>
    <xf numFmtId="0" fontId="6" fillId="0" borderId="0" xfId="2" applyFont="1" applyFill="1" applyAlignment="1">
      <alignment horizontal="center"/>
    </xf>
    <xf numFmtId="164" fontId="7" fillId="0" borderId="1" xfId="2" applyNumberFormat="1" applyFont="1" applyFill="1" applyBorder="1" applyAlignment="1">
      <alignment horizontal="center"/>
    </xf>
    <xf numFmtId="0" fontId="4" fillId="0" borderId="0" xfId="4" applyFont="1" applyAlignment="1">
      <alignment horizontal="center"/>
    </xf>
    <xf numFmtId="0" fontId="1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3" fillId="0" borderId="0" xfId="3" applyFont="1" applyFill="1" applyAlignment="1">
      <alignment horizontal="center"/>
    </xf>
    <xf numFmtId="164" fontId="7" fillId="5" borderId="2" xfId="3" applyNumberFormat="1" applyFont="1" applyFill="1" applyBorder="1" applyAlignment="1">
      <alignment horizontal="center"/>
    </xf>
    <xf numFmtId="164" fontId="7" fillId="5" borderId="3" xfId="3" applyNumberFormat="1" applyFont="1" applyFill="1" applyBorder="1" applyAlignment="1">
      <alignment horizontal="center"/>
    </xf>
    <xf numFmtId="164" fontId="7" fillId="5" borderId="4" xfId="3" applyNumberFormat="1" applyFont="1" applyFill="1" applyBorder="1" applyAlignment="1">
      <alignment horizontal="center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  <xf numFmtId="4" fontId="6" fillId="0" borderId="0" xfId="4" applyNumberFormat="1" applyFont="1" applyFill="1" applyBorder="1"/>
  </cellXfs>
  <cellStyles count="28">
    <cellStyle name="Millares" xfId="1" builtinId="3"/>
    <cellStyle name="Millares 2" xfId="6"/>
    <cellStyle name="Millares 3" xfId="7"/>
    <cellStyle name="Millares 4" xfId="8"/>
    <cellStyle name="Millares 4 2" xfId="9"/>
    <cellStyle name="Millares 5" xfId="10"/>
    <cellStyle name="Millares 5 2" xfId="11"/>
    <cellStyle name="Millares 6" xfId="12"/>
    <cellStyle name="Millares 6 2" xfId="13"/>
    <cellStyle name="Millares 7" xfId="14"/>
    <cellStyle name="Millares 8" xfId="15"/>
    <cellStyle name="Normal" xfId="0" builtinId="0"/>
    <cellStyle name="Normal 10" xfId="16"/>
    <cellStyle name="Normal 11" xfId="17"/>
    <cellStyle name="Normal 2" xfId="2"/>
    <cellStyle name="Normal 3" xfId="4"/>
    <cellStyle name="Normal 3 2" xfId="18"/>
    <cellStyle name="Normal 4" xfId="3"/>
    <cellStyle name="Normal 4 2" xfId="5"/>
    <cellStyle name="Normal 5" xfId="19"/>
    <cellStyle name="Normal 5 2" xfId="20"/>
    <cellStyle name="Normal 6" xfId="21"/>
    <cellStyle name="Normal 6 2" xfId="22"/>
    <cellStyle name="Normal 7" xfId="23"/>
    <cellStyle name="Normal 7 2" xfId="24"/>
    <cellStyle name="Normal 8" xfId="25"/>
    <cellStyle name="Normal 8 2" xfId="26"/>
    <cellStyle name="Normal 9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  <pageSetUpPr fitToPage="1"/>
  </sheetPr>
  <dimension ref="A1:W248"/>
  <sheetViews>
    <sheetView tabSelected="1" zoomScaleNormal="100" workbookViewId="0">
      <pane xSplit="2" ySplit="6" topLeftCell="M34" activePane="bottomRight" state="frozen"/>
      <selection sqref="A1:T2"/>
      <selection pane="topRight" sqref="A1:T2"/>
      <selection pane="bottomLeft" sqref="A1:T2"/>
      <selection pane="bottomRight" activeCell="A49" sqref="A49"/>
    </sheetView>
  </sheetViews>
  <sheetFormatPr baseColWidth="10" defaultRowHeight="15.75" x14ac:dyDescent="0.25"/>
  <cols>
    <col min="1" max="1" width="8.7109375" style="377" customWidth="1"/>
    <col min="2" max="2" width="55" style="378" customWidth="1"/>
    <col min="3" max="3" width="16.42578125" style="377" customWidth="1"/>
    <col min="4" max="4" width="16.7109375" style="379" customWidth="1"/>
    <col min="5" max="5" width="31.5703125" style="377" customWidth="1"/>
    <col min="6" max="6" width="41" style="377" bestFit="1" customWidth="1"/>
    <col min="7" max="7" width="12.5703125" style="379" customWidth="1"/>
    <col min="8" max="9" width="6.28515625" style="388" customWidth="1"/>
    <col min="10" max="10" width="6.28515625" style="389" customWidth="1"/>
    <col min="11" max="11" width="12.140625" style="377" customWidth="1"/>
    <col min="12" max="12" width="11.85546875" style="377" bestFit="1" customWidth="1"/>
    <col min="13" max="13" width="11.42578125" style="377"/>
    <col min="14" max="14" width="14.7109375" style="380" customWidth="1"/>
    <col min="15" max="15" width="31.140625" style="380" hidden="1" customWidth="1"/>
    <col min="16" max="16" width="10.7109375" style="377" customWidth="1"/>
    <col min="17" max="17" width="13.42578125" style="380" bestFit="1" customWidth="1"/>
    <col min="18" max="18" width="13.42578125" style="380" customWidth="1"/>
    <col min="19" max="20" width="13.85546875" style="380" customWidth="1"/>
    <col min="21" max="21" width="13.7109375" style="380" customWidth="1"/>
    <col min="22" max="22" width="11.42578125" style="377"/>
    <col min="23" max="23" width="10.42578125" style="45" customWidth="1"/>
    <col min="24" max="16384" width="11.42578125" style="377"/>
  </cols>
  <sheetData>
    <row r="1" spans="1:23" s="371" customFormat="1" ht="20.25" x14ac:dyDescent="0.3">
      <c r="A1" s="655" t="s">
        <v>0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655"/>
      <c r="R1" s="655"/>
      <c r="S1" s="655"/>
      <c r="T1" s="655"/>
      <c r="U1" s="655"/>
      <c r="W1" s="372"/>
    </row>
    <row r="2" spans="1:23" s="373" customFormat="1" ht="20.25" x14ac:dyDescent="0.3">
      <c r="A2" s="656" t="s">
        <v>2373</v>
      </c>
      <c r="B2" s="656"/>
      <c r="C2" s="656"/>
      <c r="D2" s="656"/>
      <c r="E2" s="656"/>
      <c r="F2" s="656"/>
      <c r="G2" s="656"/>
      <c r="H2" s="656"/>
      <c r="I2" s="656"/>
      <c r="J2" s="656"/>
      <c r="K2" s="656"/>
      <c r="L2" s="656"/>
      <c r="M2" s="656"/>
      <c r="N2" s="656"/>
      <c r="O2" s="656"/>
      <c r="P2" s="656"/>
      <c r="Q2" s="656"/>
      <c r="R2" s="656"/>
      <c r="S2" s="656"/>
      <c r="T2" s="656"/>
      <c r="U2" s="656"/>
      <c r="W2" s="372"/>
    </row>
    <row r="3" spans="1:23" s="374" customFormat="1" ht="20.25" x14ac:dyDescent="0.3">
      <c r="A3" s="655" t="s">
        <v>2932</v>
      </c>
      <c r="B3" s="655"/>
      <c r="C3" s="655"/>
      <c r="D3" s="655"/>
      <c r="E3" s="655"/>
      <c r="F3" s="655"/>
      <c r="G3" s="655"/>
      <c r="H3" s="655"/>
      <c r="I3" s="655"/>
      <c r="J3" s="655"/>
      <c r="K3" s="655"/>
      <c r="L3" s="655"/>
      <c r="M3" s="655"/>
      <c r="N3" s="655"/>
      <c r="O3" s="655"/>
      <c r="P3" s="655"/>
      <c r="Q3" s="655"/>
      <c r="R3" s="655"/>
      <c r="S3" s="655"/>
      <c r="T3" s="655"/>
      <c r="U3" s="655"/>
      <c r="W3" s="372"/>
    </row>
    <row r="4" spans="1:23" s="374" customFormat="1" ht="12.75" x14ac:dyDescent="0.2">
      <c r="A4" s="375"/>
      <c r="B4" s="375"/>
      <c r="C4" s="375"/>
      <c r="D4" s="376"/>
      <c r="E4" s="375"/>
      <c r="F4" s="375"/>
      <c r="G4" s="376"/>
      <c r="H4" s="375"/>
      <c r="I4" s="375"/>
      <c r="J4" s="375"/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W4" s="121">
        <v>42400</v>
      </c>
    </row>
    <row r="5" spans="1:23" x14ac:dyDescent="0.25">
      <c r="H5" s="657" t="s">
        <v>2</v>
      </c>
      <c r="I5" s="658"/>
      <c r="J5" s="659"/>
      <c r="Q5" s="660" t="s">
        <v>3</v>
      </c>
      <c r="R5" s="661"/>
      <c r="S5" s="662"/>
      <c r="T5" s="419"/>
    </row>
    <row r="6" spans="1:23" s="386" customFormat="1" ht="47.25" x14ac:dyDescent="0.25">
      <c r="A6" s="381" t="s">
        <v>4</v>
      </c>
      <c r="B6" s="381" t="s">
        <v>7</v>
      </c>
      <c r="C6" s="381" t="s">
        <v>8</v>
      </c>
      <c r="D6" s="382" t="s">
        <v>9</v>
      </c>
      <c r="E6" s="381" t="s">
        <v>10</v>
      </c>
      <c r="F6" s="381" t="s">
        <v>11</v>
      </c>
      <c r="G6" s="382" t="s">
        <v>12</v>
      </c>
      <c r="H6" s="383" t="s">
        <v>13</v>
      </c>
      <c r="I6" s="383" t="s">
        <v>14</v>
      </c>
      <c r="J6" s="384" t="s">
        <v>15</v>
      </c>
      <c r="K6" s="381" t="s">
        <v>16</v>
      </c>
      <c r="L6" s="381" t="s">
        <v>17</v>
      </c>
      <c r="M6" s="381" t="s">
        <v>18</v>
      </c>
      <c r="N6" s="385" t="s">
        <v>2374</v>
      </c>
      <c r="O6" s="385" t="s">
        <v>2375</v>
      </c>
      <c r="P6" s="421" t="s">
        <v>21</v>
      </c>
      <c r="Q6" s="9" t="s">
        <v>22</v>
      </c>
      <c r="R6" s="10" t="s">
        <v>2927</v>
      </c>
      <c r="S6" s="10" t="s">
        <v>2934</v>
      </c>
      <c r="T6" s="10" t="s">
        <v>2933</v>
      </c>
      <c r="U6" s="129" t="s">
        <v>23</v>
      </c>
      <c r="W6" s="387" t="s">
        <v>25</v>
      </c>
    </row>
    <row r="7" spans="1:23" ht="15.6" customHeight="1" x14ac:dyDescent="0.25">
      <c r="A7" s="377" t="s">
        <v>2376</v>
      </c>
      <c r="B7" s="378" t="s">
        <v>2377</v>
      </c>
      <c r="C7" s="377" t="s">
        <v>2378</v>
      </c>
      <c r="E7" s="377" t="s">
        <v>2379</v>
      </c>
      <c r="F7" s="377" t="s">
        <v>2380</v>
      </c>
      <c r="G7" s="132" t="str">
        <f t="shared" ref="G7:G17" si="0">CONCATENATE(H7,"/",I7,"/",J7,)</f>
        <v>31/12/2003</v>
      </c>
      <c r="H7" s="388">
        <v>31</v>
      </c>
      <c r="I7" s="388">
        <v>12</v>
      </c>
      <c r="J7" s="389">
        <v>2003</v>
      </c>
      <c r="L7" s="379"/>
      <c r="M7" s="377" t="s">
        <v>2381</v>
      </c>
      <c r="N7" s="380">
        <v>1</v>
      </c>
      <c r="O7" s="380" t="s">
        <v>974</v>
      </c>
      <c r="P7" s="392">
        <v>10</v>
      </c>
      <c r="Q7" s="380">
        <f t="shared" ref="Q7:Q30" si="1">(((N7)-1)/10)/12</f>
        <v>0</v>
      </c>
      <c r="R7" s="5">
        <v>0</v>
      </c>
      <c r="S7" s="380">
        <f>Q7*W7</f>
        <v>0</v>
      </c>
      <c r="T7" s="15">
        <f t="shared" ref="T7:T30" si="2">S7-R7</f>
        <v>0</v>
      </c>
      <c r="U7" s="380">
        <f t="shared" ref="U7:U21" si="3">N7-S7</f>
        <v>1</v>
      </c>
      <c r="W7" s="44">
        <f t="shared" ref="W7:W12" si="4">IF((DATEDIF(G7,W$4,"m"))&gt;=120,120,(DATEDIF(G7,W$4,"m")))</f>
        <v>120</v>
      </c>
    </row>
    <row r="8" spans="1:23" ht="15.6" customHeight="1" x14ac:dyDescent="0.25">
      <c r="A8" s="377" t="s">
        <v>2382</v>
      </c>
      <c r="B8" s="378" t="s">
        <v>2383</v>
      </c>
      <c r="C8" s="377" t="s">
        <v>2378</v>
      </c>
      <c r="E8" s="377" t="s">
        <v>2384</v>
      </c>
      <c r="F8" s="377" t="s">
        <v>2380</v>
      </c>
      <c r="G8" s="132" t="str">
        <f t="shared" si="0"/>
        <v>31/12/2003</v>
      </c>
      <c r="H8" s="388">
        <v>31</v>
      </c>
      <c r="I8" s="388">
        <v>12</v>
      </c>
      <c r="J8" s="389">
        <v>2003</v>
      </c>
      <c r="L8" s="379"/>
      <c r="M8" s="377" t="s">
        <v>2381</v>
      </c>
      <c r="N8" s="380">
        <v>125000</v>
      </c>
      <c r="O8" s="380" t="s">
        <v>974</v>
      </c>
      <c r="P8" s="392">
        <v>10</v>
      </c>
      <c r="Q8" s="380">
        <v>0</v>
      </c>
      <c r="R8" s="5">
        <v>124999</v>
      </c>
      <c r="S8" s="5">
        <v>124999</v>
      </c>
      <c r="T8" s="15">
        <v>0</v>
      </c>
      <c r="U8" s="380">
        <v>1</v>
      </c>
      <c r="W8" s="44">
        <f t="shared" si="4"/>
        <v>120</v>
      </c>
    </row>
    <row r="9" spans="1:23" ht="15.6" customHeight="1" x14ac:dyDescent="0.25">
      <c r="A9" s="377" t="s">
        <v>2385</v>
      </c>
      <c r="B9" s="378" t="s">
        <v>2386</v>
      </c>
      <c r="C9" s="377" t="s">
        <v>2378</v>
      </c>
      <c r="E9" s="377" t="s">
        <v>2379</v>
      </c>
      <c r="F9" s="377" t="s">
        <v>2380</v>
      </c>
      <c r="G9" s="132" t="str">
        <f t="shared" si="0"/>
        <v>31/12/2003</v>
      </c>
      <c r="H9" s="388">
        <v>31</v>
      </c>
      <c r="I9" s="388">
        <v>12</v>
      </c>
      <c r="J9" s="389">
        <v>2003</v>
      </c>
      <c r="L9" s="379"/>
      <c r="M9" s="377" t="s">
        <v>2381</v>
      </c>
      <c r="N9" s="380">
        <v>1</v>
      </c>
      <c r="O9" s="380" t="s">
        <v>974</v>
      </c>
      <c r="P9" s="392">
        <v>10</v>
      </c>
      <c r="Q9" s="380">
        <f t="shared" si="1"/>
        <v>0</v>
      </c>
      <c r="R9" s="5">
        <v>0</v>
      </c>
      <c r="S9" s="380">
        <f t="shared" ref="R9:S30" si="5">Q9*W9</f>
        <v>0</v>
      </c>
      <c r="T9" s="15">
        <f t="shared" si="2"/>
        <v>0</v>
      </c>
      <c r="U9" s="380">
        <f t="shared" si="3"/>
        <v>1</v>
      </c>
      <c r="W9" s="44">
        <f t="shared" si="4"/>
        <v>120</v>
      </c>
    </row>
    <row r="10" spans="1:23" ht="15.6" customHeight="1" x14ac:dyDescent="0.25">
      <c r="A10" s="377" t="s">
        <v>2387</v>
      </c>
      <c r="B10" s="378" t="s">
        <v>2388</v>
      </c>
      <c r="C10" s="377" t="s">
        <v>2389</v>
      </c>
      <c r="E10" s="377" t="s">
        <v>2390</v>
      </c>
      <c r="F10" s="377" t="s">
        <v>2380</v>
      </c>
      <c r="G10" s="132" t="str">
        <f t="shared" si="0"/>
        <v>31/12/2003</v>
      </c>
      <c r="H10" s="388">
        <v>31</v>
      </c>
      <c r="I10" s="388">
        <v>12</v>
      </c>
      <c r="J10" s="389">
        <v>2003</v>
      </c>
      <c r="L10" s="379"/>
      <c r="M10" s="377" t="s">
        <v>2381</v>
      </c>
      <c r="N10" s="380">
        <v>1</v>
      </c>
      <c r="O10" s="380" t="s">
        <v>974</v>
      </c>
      <c r="P10" s="392">
        <v>10</v>
      </c>
      <c r="Q10" s="380">
        <f t="shared" si="1"/>
        <v>0</v>
      </c>
      <c r="R10" s="5">
        <v>0</v>
      </c>
      <c r="S10" s="380">
        <f t="shared" si="5"/>
        <v>0</v>
      </c>
      <c r="T10" s="15">
        <f t="shared" si="2"/>
        <v>0</v>
      </c>
      <c r="U10" s="380">
        <f>N10-S10</f>
        <v>1</v>
      </c>
      <c r="W10" s="44">
        <f t="shared" si="4"/>
        <v>120</v>
      </c>
    </row>
    <row r="11" spans="1:23" ht="15.6" customHeight="1" x14ac:dyDescent="0.25">
      <c r="A11" s="377" t="s">
        <v>2391</v>
      </c>
      <c r="B11" s="378" t="s">
        <v>2392</v>
      </c>
      <c r="C11" s="377" t="s">
        <v>2393</v>
      </c>
      <c r="F11" s="377" t="s">
        <v>2394</v>
      </c>
      <c r="G11" s="132" t="str">
        <f t="shared" si="0"/>
        <v>8/12/2007</v>
      </c>
      <c r="H11" s="388">
        <v>8</v>
      </c>
      <c r="I11" s="388">
        <v>12</v>
      </c>
      <c r="J11" s="389">
        <v>2007</v>
      </c>
      <c r="K11" s="377" t="s">
        <v>56</v>
      </c>
      <c r="L11" s="379">
        <v>58559</v>
      </c>
      <c r="M11" s="377" t="s">
        <v>2381</v>
      </c>
      <c r="N11" s="380">
        <v>46500</v>
      </c>
      <c r="P11" s="392">
        <v>10</v>
      </c>
      <c r="Q11" s="380">
        <f t="shared" si="1"/>
        <v>387.49166666666662</v>
      </c>
      <c r="R11" s="5">
        <v>37199.199999999997</v>
      </c>
      <c r="S11" s="380">
        <f>Q11*W11</f>
        <v>37586.691666666658</v>
      </c>
      <c r="T11" s="15">
        <f>S11-R11</f>
        <v>387.49166666666133</v>
      </c>
      <c r="U11" s="380">
        <f t="shared" si="3"/>
        <v>8913.3083333333416</v>
      </c>
      <c r="W11" s="44">
        <f t="shared" si="4"/>
        <v>97</v>
      </c>
    </row>
    <row r="12" spans="1:23" ht="15.6" customHeight="1" x14ac:dyDescent="0.25">
      <c r="A12" s="377" t="s">
        <v>2395</v>
      </c>
      <c r="B12" s="378" t="s">
        <v>2396</v>
      </c>
      <c r="C12" s="377" t="s">
        <v>2393</v>
      </c>
      <c r="F12" s="377" t="s">
        <v>2394</v>
      </c>
      <c r="G12" s="132" t="str">
        <f t="shared" si="0"/>
        <v>8/12/2007</v>
      </c>
      <c r="H12" s="388">
        <v>8</v>
      </c>
      <c r="I12" s="388">
        <v>12</v>
      </c>
      <c r="J12" s="389">
        <v>2007</v>
      </c>
      <c r="K12" s="377" t="s">
        <v>56</v>
      </c>
      <c r="L12" s="379">
        <v>58559</v>
      </c>
      <c r="M12" s="377" t="s">
        <v>2381</v>
      </c>
      <c r="N12" s="380">
        <v>17800</v>
      </c>
      <c r="P12" s="392">
        <v>10</v>
      </c>
      <c r="Q12" s="380">
        <f t="shared" si="1"/>
        <v>148.32500000000002</v>
      </c>
      <c r="R12" s="5">
        <v>14239.2</v>
      </c>
      <c r="S12" s="380">
        <f t="shared" si="5"/>
        <v>14387.525000000001</v>
      </c>
      <c r="T12" s="15">
        <f t="shared" si="2"/>
        <v>148.32500000000073</v>
      </c>
      <c r="U12" s="380">
        <f t="shared" si="3"/>
        <v>3412.4749999999985</v>
      </c>
      <c r="W12" s="44">
        <f t="shared" si="4"/>
        <v>97</v>
      </c>
    </row>
    <row r="13" spans="1:23" ht="15.6" customHeight="1" x14ac:dyDescent="0.25">
      <c r="A13" s="377" t="s">
        <v>2397</v>
      </c>
      <c r="B13" s="378" t="s">
        <v>2396</v>
      </c>
      <c r="C13" s="377" t="s">
        <v>2393</v>
      </c>
      <c r="F13" s="377" t="s">
        <v>2394</v>
      </c>
      <c r="G13" s="132" t="str">
        <f t="shared" si="0"/>
        <v>8/12/2007</v>
      </c>
      <c r="H13" s="388">
        <v>8</v>
      </c>
      <c r="I13" s="388">
        <v>12</v>
      </c>
      <c r="J13" s="389">
        <v>2007</v>
      </c>
      <c r="K13" s="377" t="s">
        <v>56</v>
      </c>
      <c r="L13" s="379">
        <v>58559</v>
      </c>
      <c r="M13" s="377" t="s">
        <v>2398</v>
      </c>
      <c r="N13" s="380">
        <v>17800</v>
      </c>
      <c r="P13" s="392">
        <v>10</v>
      </c>
      <c r="Q13" s="380">
        <f t="shared" si="1"/>
        <v>148.32500000000002</v>
      </c>
      <c r="R13" s="5">
        <v>14239.2</v>
      </c>
      <c r="S13" s="380">
        <f t="shared" si="5"/>
        <v>14387.525000000001</v>
      </c>
      <c r="T13" s="15">
        <f t="shared" si="2"/>
        <v>148.32500000000073</v>
      </c>
      <c r="U13" s="380">
        <f t="shared" si="3"/>
        <v>3412.4749999999985</v>
      </c>
      <c r="W13" s="44">
        <f t="shared" ref="W13:W29" si="6">IF((DATEDIF(G13,W$4,"m"))&gt;=120,120,(DATEDIF(G13,W$4,"m")))</f>
        <v>97</v>
      </c>
    </row>
    <row r="14" spans="1:23" ht="15.6" customHeight="1" x14ac:dyDescent="0.25">
      <c r="A14" s="377" t="s">
        <v>2399</v>
      </c>
      <c r="B14" s="378" t="s">
        <v>2400</v>
      </c>
      <c r="C14" s="377" t="s">
        <v>2401</v>
      </c>
      <c r="D14" s="379" t="s">
        <v>2402</v>
      </c>
      <c r="E14" s="377" t="s">
        <v>2403</v>
      </c>
      <c r="F14" s="377" t="s">
        <v>2380</v>
      </c>
      <c r="G14" s="132" t="str">
        <f t="shared" si="0"/>
        <v>31/12/2003</v>
      </c>
      <c r="H14" s="388">
        <v>31</v>
      </c>
      <c r="I14" s="388">
        <v>12</v>
      </c>
      <c r="J14" s="389">
        <v>2003</v>
      </c>
      <c r="L14" s="379"/>
      <c r="M14" s="377" t="s">
        <v>2381</v>
      </c>
      <c r="N14" s="380">
        <v>225000</v>
      </c>
      <c r="O14" s="380" t="s">
        <v>2404</v>
      </c>
      <c r="P14" s="392">
        <v>10</v>
      </c>
      <c r="Q14" s="380">
        <v>0</v>
      </c>
      <c r="R14" s="5">
        <v>224999</v>
      </c>
      <c r="S14" s="5">
        <v>224999</v>
      </c>
      <c r="T14" s="15">
        <v>0</v>
      </c>
      <c r="U14" s="380">
        <v>1</v>
      </c>
      <c r="W14" s="44">
        <f>IF((DATEDIF(G14,W$4,"m"))&gt;=120,120,(DATEDIF(G14,W$4,"m")))</f>
        <v>120</v>
      </c>
    </row>
    <row r="15" spans="1:23" ht="15.6" customHeight="1" x14ac:dyDescent="0.25">
      <c r="A15" s="377" t="s">
        <v>2405</v>
      </c>
      <c r="B15" s="378" t="s">
        <v>2406</v>
      </c>
      <c r="D15" s="379">
        <v>2823008110</v>
      </c>
      <c r="F15" s="377" t="s">
        <v>2380</v>
      </c>
      <c r="G15" s="132" t="str">
        <f t="shared" si="0"/>
        <v>31/12/2003</v>
      </c>
      <c r="H15" s="388">
        <v>31</v>
      </c>
      <c r="I15" s="388">
        <v>12</v>
      </c>
      <c r="J15" s="389">
        <v>2003</v>
      </c>
      <c r="L15" s="379"/>
      <c r="M15" s="377" t="s">
        <v>2381</v>
      </c>
      <c r="N15" s="380">
        <v>1</v>
      </c>
      <c r="O15" s="380" t="s">
        <v>2404</v>
      </c>
      <c r="P15" s="392">
        <v>10</v>
      </c>
      <c r="Q15" s="380">
        <f t="shared" si="1"/>
        <v>0</v>
      </c>
      <c r="R15" s="5">
        <v>0</v>
      </c>
      <c r="S15" s="380">
        <f t="shared" si="5"/>
        <v>0</v>
      </c>
      <c r="T15" s="15">
        <f t="shared" si="2"/>
        <v>0</v>
      </c>
      <c r="U15" s="380">
        <f t="shared" si="3"/>
        <v>1</v>
      </c>
      <c r="W15" s="44">
        <f>IF((DATEDIF(G15,W$4,"m"))&gt;=120,120,(DATEDIF(G15,W$4,"m")))</f>
        <v>120</v>
      </c>
    </row>
    <row r="16" spans="1:23" ht="15.6" customHeight="1" x14ac:dyDescent="0.25">
      <c r="A16" s="377" t="s">
        <v>2407</v>
      </c>
      <c r="B16" s="378" t="s">
        <v>2408</v>
      </c>
      <c r="C16" s="377" t="s">
        <v>2409</v>
      </c>
      <c r="E16" s="377" t="s">
        <v>2410</v>
      </c>
      <c r="F16" s="377" t="s">
        <v>2380</v>
      </c>
      <c r="G16" s="132" t="str">
        <f t="shared" si="0"/>
        <v>31/12/2003</v>
      </c>
      <c r="H16" s="388">
        <v>31</v>
      </c>
      <c r="I16" s="388">
        <v>12</v>
      </c>
      <c r="J16" s="389">
        <v>2003</v>
      </c>
      <c r="L16" s="379"/>
      <c r="M16" s="377" t="s">
        <v>2381</v>
      </c>
      <c r="N16" s="380">
        <v>12000</v>
      </c>
      <c r="O16" s="380" t="s">
        <v>2404</v>
      </c>
      <c r="P16" s="392">
        <v>10</v>
      </c>
      <c r="Q16" s="380">
        <v>0</v>
      </c>
      <c r="R16" s="5">
        <v>11999</v>
      </c>
      <c r="S16" s="5">
        <v>11999</v>
      </c>
      <c r="T16" s="15">
        <v>0</v>
      </c>
      <c r="U16" s="380">
        <v>1</v>
      </c>
      <c r="W16" s="44">
        <f>IF((DATEDIF(G16,W$4,"m"))&gt;=120,120,(DATEDIF(G16,W$4,"m")))</f>
        <v>120</v>
      </c>
    </row>
    <row r="17" spans="1:23" ht="15.6" customHeight="1" x14ac:dyDescent="0.25">
      <c r="A17" s="377" t="s">
        <v>2411</v>
      </c>
      <c r="B17" s="378" t="s">
        <v>2408</v>
      </c>
      <c r="C17" s="377" t="s">
        <v>2412</v>
      </c>
      <c r="E17" s="377" t="s">
        <v>2413</v>
      </c>
      <c r="F17" s="377" t="s">
        <v>2380</v>
      </c>
      <c r="G17" s="132" t="str">
        <f t="shared" si="0"/>
        <v>31/12/2003</v>
      </c>
      <c r="H17" s="388">
        <v>31</v>
      </c>
      <c r="I17" s="388">
        <v>12</v>
      </c>
      <c r="J17" s="389">
        <v>2003</v>
      </c>
      <c r="L17" s="379"/>
      <c r="M17" s="377" t="s">
        <v>2381</v>
      </c>
      <c r="N17" s="380">
        <v>12000</v>
      </c>
      <c r="O17" s="380" t="s">
        <v>2404</v>
      </c>
      <c r="P17" s="392">
        <v>10</v>
      </c>
      <c r="Q17" s="380">
        <v>0</v>
      </c>
      <c r="R17" s="5">
        <v>11999</v>
      </c>
      <c r="S17" s="5">
        <v>11999</v>
      </c>
      <c r="T17" s="15">
        <v>0</v>
      </c>
      <c r="U17" s="380">
        <v>1</v>
      </c>
      <c r="W17" s="44">
        <f>IF((DATEDIF(G17,W$4,"m"))&gt;=120,120,(DATEDIF(G17,W$4,"m")))</f>
        <v>120</v>
      </c>
    </row>
    <row r="18" spans="1:23" ht="15.6" customHeight="1" x14ac:dyDescent="0.25">
      <c r="A18" s="377" t="s">
        <v>2414</v>
      </c>
      <c r="B18" s="378" t="s">
        <v>2415</v>
      </c>
      <c r="C18" s="377" t="s">
        <v>2416</v>
      </c>
      <c r="D18" s="379" t="s">
        <v>2417</v>
      </c>
      <c r="G18" s="132" t="str">
        <f>CONCATENATE(H18,"/",I18,"/",J18,)</f>
        <v>31/12/2003</v>
      </c>
      <c r="H18" s="388">
        <v>31</v>
      </c>
      <c r="I18" s="388">
        <v>12</v>
      </c>
      <c r="J18" s="389">
        <v>2003</v>
      </c>
      <c r="L18" s="379"/>
      <c r="M18" s="377" t="s">
        <v>2381</v>
      </c>
      <c r="N18" s="380">
        <v>1</v>
      </c>
      <c r="O18" s="380" t="s">
        <v>2418</v>
      </c>
      <c r="P18" s="392">
        <v>10</v>
      </c>
      <c r="Q18" s="380">
        <f t="shared" si="1"/>
        <v>0</v>
      </c>
      <c r="R18" s="5">
        <v>0</v>
      </c>
      <c r="S18" s="380">
        <f t="shared" si="5"/>
        <v>0</v>
      </c>
      <c r="T18" s="15">
        <f t="shared" si="2"/>
        <v>0</v>
      </c>
      <c r="U18" s="380">
        <f t="shared" si="3"/>
        <v>1</v>
      </c>
      <c r="W18" s="44">
        <f t="shared" si="6"/>
        <v>120</v>
      </c>
    </row>
    <row r="19" spans="1:23" ht="15.6" customHeight="1" x14ac:dyDescent="0.25">
      <c r="A19" s="377" t="s">
        <v>2419</v>
      </c>
      <c r="B19" s="378" t="s">
        <v>2420</v>
      </c>
      <c r="C19" s="377" t="s">
        <v>2421</v>
      </c>
      <c r="D19" s="379" t="s">
        <v>2422</v>
      </c>
      <c r="E19" s="377" t="s">
        <v>2423</v>
      </c>
      <c r="F19" s="377" t="s">
        <v>2424</v>
      </c>
      <c r="G19" s="132" t="str">
        <f t="shared" ref="G19:G42" si="7">CONCATENATE(H19,"/",I19,"/",J19,)</f>
        <v>12/10/2006</v>
      </c>
      <c r="H19" s="388">
        <v>12</v>
      </c>
      <c r="I19" s="388">
        <v>10</v>
      </c>
      <c r="J19" s="389">
        <v>2006</v>
      </c>
      <c r="K19" s="377" t="s">
        <v>24</v>
      </c>
      <c r="L19" s="379">
        <v>8799</v>
      </c>
      <c r="M19" s="377" t="s">
        <v>2381</v>
      </c>
      <c r="N19" s="380">
        <v>20000</v>
      </c>
      <c r="O19" s="390" t="s">
        <v>65</v>
      </c>
      <c r="P19" s="392">
        <v>10</v>
      </c>
      <c r="Q19" s="380">
        <f t="shared" si="1"/>
        <v>166.65833333333333</v>
      </c>
      <c r="R19" s="5">
        <v>18332.416666666668</v>
      </c>
      <c r="S19" s="380">
        <f t="shared" si="5"/>
        <v>18499.075000000001</v>
      </c>
      <c r="T19" s="15">
        <f t="shared" si="2"/>
        <v>166.65833333333285</v>
      </c>
      <c r="U19" s="380">
        <f t="shared" si="3"/>
        <v>1500.9249999999993</v>
      </c>
      <c r="W19" s="44">
        <f>IF((DATEDIF(G19,W$4,"m"))&gt;=120,120,(DATEDIF(G19,W$4,"m")))</f>
        <v>111</v>
      </c>
    </row>
    <row r="20" spans="1:23" ht="15.6" customHeight="1" x14ac:dyDescent="0.25">
      <c r="A20" s="377" t="s">
        <v>2425</v>
      </c>
      <c r="B20" s="378" t="s">
        <v>2426</v>
      </c>
      <c r="C20" s="377" t="s">
        <v>2421</v>
      </c>
      <c r="F20" s="377" t="s">
        <v>2424</v>
      </c>
      <c r="G20" s="132" t="str">
        <f t="shared" si="7"/>
        <v>12/10/2006</v>
      </c>
      <c r="H20" s="388">
        <v>12</v>
      </c>
      <c r="I20" s="388">
        <v>10</v>
      </c>
      <c r="J20" s="389">
        <v>2006</v>
      </c>
      <c r="K20" s="377" t="s">
        <v>24</v>
      </c>
      <c r="L20" s="379">
        <v>8799</v>
      </c>
      <c r="M20" s="377" t="s">
        <v>2381</v>
      </c>
      <c r="N20" s="380">
        <v>15000</v>
      </c>
      <c r="O20" s="380" t="s">
        <v>2427</v>
      </c>
      <c r="P20" s="392">
        <v>10</v>
      </c>
      <c r="Q20" s="380">
        <f t="shared" si="1"/>
        <v>124.99166666666667</v>
      </c>
      <c r="R20" s="5">
        <v>13749.083333333334</v>
      </c>
      <c r="S20" s="380">
        <f t="shared" si="5"/>
        <v>13874.075000000001</v>
      </c>
      <c r="T20" s="15">
        <f t="shared" si="2"/>
        <v>124.99166666666679</v>
      </c>
      <c r="U20" s="380">
        <f t="shared" si="3"/>
        <v>1125.9249999999993</v>
      </c>
      <c r="W20" s="44">
        <f>IF((DATEDIF(G20,W$4,"m"))&gt;=120,120,(DATEDIF(G20,W$4,"m")))</f>
        <v>111</v>
      </c>
    </row>
    <row r="21" spans="1:23" ht="15.6" customHeight="1" x14ac:dyDescent="0.25">
      <c r="A21" s="377" t="s">
        <v>2428</v>
      </c>
      <c r="B21" s="378" t="s">
        <v>2429</v>
      </c>
      <c r="C21" s="377" t="s">
        <v>2043</v>
      </c>
      <c r="D21" s="379" t="s">
        <v>2430</v>
      </c>
      <c r="E21" s="377" t="s">
        <v>2431</v>
      </c>
      <c r="F21" s="377" t="s">
        <v>2432</v>
      </c>
      <c r="G21" s="132" t="str">
        <f t="shared" si="7"/>
        <v>10/6/2005</v>
      </c>
      <c r="H21" s="388">
        <v>10</v>
      </c>
      <c r="I21" s="388">
        <v>6</v>
      </c>
      <c r="J21" s="389">
        <v>2005</v>
      </c>
      <c r="K21" s="377" t="s">
        <v>24</v>
      </c>
      <c r="L21" s="379">
        <v>6500</v>
      </c>
      <c r="M21" s="377" t="s">
        <v>2381</v>
      </c>
      <c r="N21" s="380">
        <v>65000</v>
      </c>
      <c r="O21" s="380" t="s">
        <v>2433</v>
      </c>
      <c r="P21" s="392">
        <v>10</v>
      </c>
      <c r="Q21" s="380">
        <v>0</v>
      </c>
      <c r="R21" s="5">
        <v>64999</v>
      </c>
      <c r="S21" s="5">
        <v>64999</v>
      </c>
      <c r="T21" s="15">
        <v>0</v>
      </c>
      <c r="U21" s="380">
        <f t="shared" si="3"/>
        <v>1</v>
      </c>
      <c r="W21" s="44">
        <f>IF((DATEDIF(G21,W$4,"m"))&gt;=120,120,(DATEDIF(G21,W$4,"m")))</f>
        <v>120</v>
      </c>
    </row>
    <row r="22" spans="1:23" ht="15.6" customHeight="1" x14ac:dyDescent="0.25">
      <c r="A22" s="377" t="s">
        <v>2434</v>
      </c>
      <c r="B22" s="378" t="s">
        <v>2435</v>
      </c>
      <c r="C22" s="377" t="s">
        <v>2436</v>
      </c>
      <c r="D22" s="379" t="s">
        <v>2437</v>
      </c>
      <c r="E22" s="377" t="s">
        <v>2438</v>
      </c>
      <c r="F22" s="377" t="s">
        <v>1583</v>
      </c>
      <c r="G22" s="132" t="str">
        <f t="shared" si="7"/>
        <v>8/12/2003</v>
      </c>
      <c r="H22" s="388">
        <v>8</v>
      </c>
      <c r="I22" s="388">
        <v>12</v>
      </c>
      <c r="J22" s="389">
        <v>2003</v>
      </c>
      <c r="K22" s="377" t="s">
        <v>24</v>
      </c>
      <c r="L22" s="379">
        <v>2569</v>
      </c>
      <c r="M22" s="377" t="s">
        <v>2381</v>
      </c>
      <c r="N22" s="380">
        <v>26258.400000000001</v>
      </c>
      <c r="O22" s="380" t="s">
        <v>2439</v>
      </c>
      <c r="P22" s="392">
        <v>10</v>
      </c>
      <c r="Q22" s="380">
        <v>0</v>
      </c>
      <c r="R22" s="5">
        <v>26257.400000000005</v>
      </c>
      <c r="S22" s="5">
        <v>26257.400000000005</v>
      </c>
      <c r="T22" s="15">
        <v>0</v>
      </c>
      <c r="U22" s="380">
        <v>1</v>
      </c>
      <c r="W22" s="44">
        <f t="shared" si="6"/>
        <v>120</v>
      </c>
    </row>
    <row r="23" spans="1:23" ht="15.6" customHeight="1" x14ac:dyDescent="0.25">
      <c r="A23" s="377" t="s">
        <v>2440</v>
      </c>
      <c r="B23" s="378" t="s">
        <v>2441</v>
      </c>
      <c r="C23" s="377" t="s">
        <v>2416</v>
      </c>
      <c r="D23" s="379" t="s">
        <v>2442</v>
      </c>
      <c r="E23" s="377" t="s">
        <v>2443</v>
      </c>
      <c r="G23" s="132" t="str">
        <f>CONCATENATE(H23,"/",I23,"/",J23,)</f>
        <v>8/12/2003</v>
      </c>
      <c r="H23" s="388">
        <v>8</v>
      </c>
      <c r="I23" s="388">
        <v>12</v>
      </c>
      <c r="J23" s="389">
        <v>2003</v>
      </c>
      <c r="L23" s="379"/>
      <c r="M23" s="377" t="s">
        <v>2381</v>
      </c>
      <c r="N23" s="380">
        <v>1</v>
      </c>
      <c r="O23" s="380" t="s">
        <v>2439</v>
      </c>
      <c r="P23" s="392">
        <v>10</v>
      </c>
      <c r="Q23" s="380">
        <f t="shared" si="1"/>
        <v>0</v>
      </c>
      <c r="R23" s="5">
        <v>0</v>
      </c>
      <c r="S23" s="380">
        <f t="shared" si="5"/>
        <v>0</v>
      </c>
      <c r="T23" s="15">
        <f t="shared" si="2"/>
        <v>0</v>
      </c>
      <c r="U23" s="380">
        <f>N23-S23</f>
        <v>1</v>
      </c>
      <c r="W23" s="44">
        <f t="shared" si="6"/>
        <v>120</v>
      </c>
    </row>
    <row r="24" spans="1:23" ht="15.6" customHeight="1" x14ac:dyDescent="0.25">
      <c r="A24" s="377" t="s">
        <v>2444</v>
      </c>
      <c r="B24" s="378" t="s">
        <v>2445</v>
      </c>
      <c r="C24" s="377" t="s">
        <v>2416</v>
      </c>
      <c r="D24" s="379" t="s">
        <v>2446</v>
      </c>
      <c r="F24" s="377" t="s">
        <v>2432</v>
      </c>
      <c r="G24" s="132" t="str">
        <f t="shared" si="7"/>
        <v>20/9/2006</v>
      </c>
      <c r="H24" s="388">
        <v>20</v>
      </c>
      <c r="I24" s="388">
        <v>9</v>
      </c>
      <c r="J24" s="389">
        <v>2006</v>
      </c>
      <c r="K24" s="377" t="s">
        <v>56</v>
      </c>
      <c r="L24" s="379">
        <v>87</v>
      </c>
      <c r="M24" s="377" t="s">
        <v>2381</v>
      </c>
      <c r="N24" s="380">
        <v>76999.990000000005</v>
      </c>
      <c r="O24" s="380" t="s">
        <v>2447</v>
      </c>
      <c r="P24" s="392">
        <v>10</v>
      </c>
      <c r="Q24" s="380">
        <f t="shared" si="1"/>
        <v>641.65825000000007</v>
      </c>
      <c r="R24" s="5">
        <v>71224.065750000009</v>
      </c>
      <c r="S24" s="380">
        <f t="shared" si="5"/>
        <v>71865.724000000002</v>
      </c>
      <c r="T24" s="15">
        <f t="shared" si="2"/>
        <v>641.65824999999313</v>
      </c>
      <c r="U24" s="380">
        <f>N24-S24</f>
        <v>5134.2660000000033</v>
      </c>
      <c r="W24" s="44">
        <f>IF((DATEDIF(G24,W$4,"m"))&gt;=120,120,(DATEDIF(G24,W$4,"m")))</f>
        <v>112</v>
      </c>
    </row>
    <row r="25" spans="1:23" s="392" customFormat="1" ht="15.6" customHeight="1" x14ac:dyDescent="0.25">
      <c r="A25" s="377" t="s">
        <v>2448</v>
      </c>
      <c r="B25" s="391" t="s">
        <v>2449</v>
      </c>
      <c r="C25" s="392" t="s">
        <v>2416</v>
      </c>
      <c r="D25" s="393" t="s">
        <v>2450</v>
      </c>
      <c r="F25" s="392" t="s">
        <v>2432</v>
      </c>
      <c r="G25" s="132" t="str">
        <f t="shared" si="7"/>
        <v>6/10/2006</v>
      </c>
      <c r="H25" s="394">
        <v>6</v>
      </c>
      <c r="I25" s="394">
        <v>10</v>
      </c>
      <c r="J25" s="395">
        <v>2006</v>
      </c>
      <c r="K25" s="392" t="s">
        <v>56</v>
      </c>
      <c r="L25" s="393">
        <v>97</v>
      </c>
      <c r="M25" s="392" t="s">
        <v>2381</v>
      </c>
      <c r="N25" s="396">
        <v>60500</v>
      </c>
      <c r="O25" s="396"/>
      <c r="P25" s="392">
        <v>10</v>
      </c>
      <c r="Q25" s="380">
        <f t="shared" si="1"/>
        <v>504.1583333333333</v>
      </c>
      <c r="R25" s="5">
        <v>55457.416666666664</v>
      </c>
      <c r="S25" s="380">
        <f t="shared" si="5"/>
        <v>55961.574999999997</v>
      </c>
      <c r="T25" s="15">
        <f t="shared" si="2"/>
        <v>504.15833333333285</v>
      </c>
      <c r="U25" s="380">
        <f>N25-S25</f>
        <v>4538.4250000000029</v>
      </c>
      <c r="W25" s="44">
        <f t="shared" si="6"/>
        <v>111</v>
      </c>
    </row>
    <row r="26" spans="1:23" s="392" customFormat="1" ht="15.6" customHeight="1" x14ac:dyDescent="0.25">
      <c r="A26" s="377" t="s">
        <v>2451</v>
      </c>
      <c r="B26" s="391" t="s">
        <v>2449</v>
      </c>
      <c r="C26" s="392" t="s">
        <v>2416</v>
      </c>
      <c r="D26" s="393" t="s">
        <v>2450</v>
      </c>
      <c r="F26" s="392" t="s">
        <v>2432</v>
      </c>
      <c r="G26" s="132" t="str">
        <f t="shared" si="7"/>
        <v>10/10/2006</v>
      </c>
      <c r="H26" s="394">
        <v>10</v>
      </c>
      <c r="I26" s="394">
        <v>10</v>
      </c>
      <c r="J26" s="395">
        <v>2006</v>
      </c>
      <c r="K26" s="392" t="s">
        <v>56</v>
      </c>
      <c r="L26" s="393">
        <v>98</v>
      </c>
      <c r="M26" s="392" t="s">
        <v>2381</v>
      </c>
      <c r="N26" s="396">
        <v>60500</v>
      </c>
      <c r="O26" s="396"/>
      <c r="P26" s="392">
        <v>10</v>
      </c>
      <c r="Q26" s="380">
        <f t="shared" si="1"/>
        <v>504.1583333333333</v>
      </c>
      <c r="R26" s="5">
        <v>55457.416666666664</v>
      </c>
      <c r="S26" s="380">
        <f t="shared" si="5"/>
        <v>55961.574999999997</v>
      </c>
      <c r="T26" s="15">
        <f t="shared" si="2"/>
        <v>504.15833333333285</v>
      </c>
      <c r="U26" s="380">
        <f>N26-S26</f>
        <v>4538.4250000000029</v>
      </c>
      <c r="W26" s="44">
        <f t="shared" si="6"/>
        <v>111</v>
      </c>
    </row>
    <row r="27" spans="1:23" s="398" customFormat="1" ht="15.6" customHeight="1" x14ac:dyDescent="0.25">
      <c r="A27" s="377" t="s">
        <v>2452</v>
      </c>
      <c r="B27" s="397" t="s">
        <v>2453</v>
      </c>
      <c r="C27" s="398" t="s">
        <v>2454</v>
      </c>
      <c r="D27" s="399"/>
      <c r="F27" s="398" t="s">
        <v>1583</v>
      </c>
      <c r="G27" s="132" t="str">
        <f t="shared" si="7"/>
        <v>8/12/2003</v>
      </c>
      <c r="H27" s="400">
        <v>8</v>
      </c>
      <c r="I27" s="400">
        <v>12</v>
      </c>
      <c r="J27" s="401">
        <v>2003</v>
      </c>
      <c r="K27" s="398" t="s">
        <v>24</v>
      </c>
      <c r="L27" s="399">
        <v>2569</v>
      </c>
      <c r="M27" s="398" t="s">
        <v>2381</v>
      </c>
      <c r="N27" s="402">
        <v>98745</v>
      </c>
      <c r="O27" s="402"/>
      <c r="P27" s="398">
        <v>10</v>
      </c>
      <c r="Q27" s="380">
        <v>0</v>
      </c>
      <c r="R27" s="5">
        <v>98744</v>
      </c>
      <c r="S27" s="5">
        <v>98744</v>
      </c>
      <c r="T27" s="15">
        <v>0</v>
      </c>
      <c r="U27" s="380">
        <v>1</v>
      </c>
      <c r="W27" s="44">
        <f t="shared" si="6"/>
        <v>120</v>
      </c>
    </row>
    <row r="28" spans="1:23" s="392" customFormat="1" ht="15.6" customHeight="1" x14ac:dyDescent="0.25">
      <c r="A28" s="377" t="s">
        <v>2455</v>
      </c>
      <c r="B28" s="391" t="s">
        <v>2396</v>
      </c>
      <c r="C28" s="392" t="s">
        <v>2393</v>
      </c>
      <c r="D28" s="393"/>
      <c r="F28" s="392" t="s">
        <v>2394</v>
      </c>
      <c r="G28" s="132" t="str">
        <f t="shared" si="7"/>
        <v>8/12/2007</v>
      </c>
      <c r="H28" s="394">
        <v>8</v>
      </c>
      <c r="I28" s="394">
        <v>12</v>
      </c>
      <c r="J28" s="395">
        <v>2007</v>
      </c>
      <c r="K28" s="392" t="s">
        <v>56</v>
      </c>
      <c r="L28" s="393">
        <v>58559</v>
      </c>
      <c r="M28" s="392" t="s">
        <v>2398</v>
      </c>
      <c r="N28" s="396">
        <v>17800</v>
      </c>
      <c r="O28" s="396"/>
      <c r="P28" s="392">
        <v>10</v>
      </c>
      <c r="Q28" s="380">
        <f t="shared" si="1"/>
        <v>148.32500000000002</v>
      </c>
      <c r="R28" s="5">
        <v>14239.2</v>
      </c>
      <c r="S28" s="380">
        <f t="shared" si="5"/>
        <v>14387.525000000001</v>
      </c>
      <c r="T28" s="15">
        <f t="shared" si="2"/>
        <v>148.32500000000073</v>
      </c>
      <c r="U28" s="380">
        <f>N28-S28</f>
        <v>3412.4749999999985</v>
      </c>
      <c r="W28" s="44">
        <f t="shared" si="6"/>
        <v>97</v>
      </c>
    </row>
    <row r="29" spans="1:23" s="392" customFormat="1" ht="15.6" customHeight="1" x14ac:dyDescent="0.25">
      <c r="A29" s="377" t="s">
        <v>2456</v>
      </c>
      <c r="B29" s="391" t="s">
        <v>2396</v>
      </c>
      <c r="C29" s="392" t="s">
        <v>2393</v>
      </c>
      <c r="D29" s="393"/>
      <c r="F29" s="392" t="s">
        <v>2394</v>
      </c>
      <c r="G29" s="132" t="str">
        <f t="shared" si="7"/>
        <v>8/12/2007</v>
      </c>
      <c r="H29" s="394">
        <v>8</v>
      </c>
      <c r="I29" s="394">
        <v>12</v>
      </c>
      <c r="J29" s="395">
        <v>2007</v>
      </c>
      <c r="K29" s="392" t="s">
        <v>56</v>
      </c>
      <c r="L29" s="393">
        <v>58559</v>
      </c>
      <c r="M29" s="392" t="s">
        <v>2398</v>
      </c>
      <c r="N29" s="396">
        <v>17800</v>
      </c>
      <c r="O29" s="396"/>
      <c r="P29" s="392">
        <v>10</v>
      </c>
      <c r="Q29" s="380">
        <f t="shared" si="1"/>
        <v>148.32500000000002</v>
      </c>
      <c r="R29" s="5">
        <v>14239.2</v>
      </c>
      <c r="S29" s="380">
        <f t="shared" si="5"/>
        <v>14387.525000000001</v>
      </c>
      <c r="T29" s="15">
        <f t="shared" si="2"/>
        <v>148.32500000000073</v>
      </c>
      <c r="U29" s="380">
        <f>N29-S29</f>
        <v>3412.4749999999985</v>
      </c>
      <c r="W29" s="44">
        <f t="shared" si="6"/>
        <v>97</v>
      </c>
    </row>
    <row r="30" spans="1:23" s="392" customFormat="1" ht="15.6" customHeight="1" x14ac:dyDescent="0.25">
      <c r="A30" s="377" t="s">
        <v>2457</v>
      </c>
      <c r="B30" s="391" t="s">
        <v>2458</v>
      </c>
      <c r="D30" s="393"/>
      <c r="F30" s="392" t="s">
        <v>563</v>
      </c>
      <c r="G30" s="132" t="str">
        <f t="shared" si="7"/>
        <v>21/10/2008</v>
      </c>
      <c r="H30" s="394">
        <v>21</v>
      </c>
      <c r="I30" s="394">
        <v>10</v>
      </c>
      <c r="J30" s="395">
        <v>2008</v>
      </c>
      <c r="L30" s="393"/>
      <c r="N30" s="396">
        <v>2664.75</v>
      </c>
      <c r="O30" s="403" t="s">
        <v>2459</v>
      </c>
      <c r="P30" s="392">
        <v>10</v>
      </c>
      <c r="Q30" s="380">
        <f t="shared" si="1"/>
        <v>22.197916666666668</v>
      </c>
      <c r="R30" s="5">
        <v>1909.0208333333335</v>
      </c>
      <c r="S30" s="380">
        <f t="shared" si="5"/>
        <v>1931.21875</v>
      </c>
      <c r="T30" s="15">
        <f t="shared" si="2"/>
        <v>22.197916666666515</v>
      </c>
      <c r="U30" s="380">
        <f>N30-S30</f>
        <v>733.53125</v>
      </c>
      <c r="W30" s="44">
        <f>IF((DATEDIF(G30,W$4,"m"))&gt;=120,120,(DATEDIF(G30,W$4,"m")))</f>
        <v>87</v>
      </c>
    </row>
    <row r="31" spans="1:23" s="105" customFormat="1" ht="15.6" customHeight="1" x14ac:dyDescent="0.25">
      <c r="A31" s="105" t="s">
        <v>428</v>
      </c>
      <c r="B31" s="404"/>
      <c r="D31" s="405"/>
      <c r="G31" s="132"/>
      <c r="H31" s="406"/>
      <c r="I31" s="406"/>
      <c r="J31" s="407"/>
      <c r="L31" s="405"/>
      <c r="N31" s="115">
        <f>SUM(N7:N30)</f>
        <v>917374.14</v>
      </c>
      <c r="O31" s="115"/>
      <c r="Q31" s="115">
        <f>SUM(Q7:Q30)</f>
        <v>2944.6144999999997</v>
      </c>
      <c r="R31" s="115">
        <v>874281.8199166666</v>
      </c>
      <c r="S31" s="115">
        <f>SUM(S7:S30)</f>
        <v>877226.43441666663</v>
      </c>
      <c r="T31" s="115">
        <f>SUM(T7:T30)</f>
        <v>2944.6144999999892</v>
      </c>
      <c r="U31" s="115">
        <f>SUM(U7:U30)</f>
        <v>40147.705583333343</v>
      </c>
      <c r="W31" s="44"/>
    </row>
    <row r="32" spans="1:23" s="392" customFormat="1" ht="15" customHeight="1" x14ac:dyDescent="0.25">
      <c r="B32" s="391"/>
      <c r="D32" s="393"/>
      <c r="G32" s="132"/>
      <c r="H32" s="394"/>
      <c r="I32" s="394"/>
      <c r="J32" s="395"/>
      <c r="L32" s="393"/>
      <c r="N32" s="396"/>
      <c r="O32" s="396"/>
      <c r="Q32" s="396"/>
      <c r="R32" s="396"/>
      <c r="S32" s="396"/>
      <c r="T32" s="396"/>
      <c r="U32" s="396"/>
      <c r="W32" s="44"/>
    </row>
    <row r="33" spans="1:23" s="392" customFormat="1" ht="12.75" customHeight="1" x14ac:dyDescent="0.25">
      <c r="A33" s="398" t="s">
        <v>2460</v>
      </c>
      <c r="B33" s="398" t="s">
        <v>2461</v>
      </c>
      <c r="C33" s="398" t="s">
        <v>1575</v>
      </c>
      <c r="D33" s="398"/>
      <c r="E33" s="398"/>
      <c r="F33" s="398" t="s">
        <v>2462</v>
      </c>
      <c r="G33" s="132" t="str">
        <f t="shared" si="7"/>
        <v>2/4/2009</v>
      </c>
      <c r="H33" s="398">
        <v>2</v>
      </c>
      <c r="I33" s="398">
        <v>4</v>
      </c>
      <c r="J33" s="398">
        <v>2009</v>
      </c>
      <c r="K33" s="408" t="s">
        <v>538</v>
      </c>
      <c r="L33" s="399">
        <v>15583</v>
      </c>
      <c r="M33" s="392" t="s">
        <v>2381</v>
      </c>
      <c r="N33" s="402">
        <v>42244.77</v>
      </c>
      <c r="O33" s="409" t="s">
        <v>1659</v>
      </c>
      <c r="P33" s="392">
        <v>10</v>
      </c>
      <c r="Q33" s="402">
        <f>(((N33)-1)/10)/12</f>
        <v>352.03141666666664</v>
      </c>
      <c r="R33" s="5">
        <v>28162.513333333332</v>
      </c>
      <c r="S33" s="380">
        <f>Q33*W33</f>
        <v>28514.544749999997</v>
      </c>
      <c r="T33" s="15">
        <f>S33-R33</f>
        <v>352.03141666666488</v>
      </c>
      <c r="U33" s="380">
        <f>N33-S33</f>
        <v>13730.22525</v>
      </c>
      <c r="W33" s="44">
        <f>IF((DATEDIF(G33,W$4,"m"))&gt;=120,120,(DATEDIF(G33,W$4,"m")))</f>
        <v>81</v>
      </c>
    </row>
    <row r="34" spans="1:23" s="392" customFormat="1" ht="12.75" customHeight="1" x14ac:dyDescent="0.25">
      <c r="A34" s="392" t="s">
        <v>2463</v>
      </c>
      <c r="B34" s="398" t="s">
        <v>2461</v>
      </c>
      <c r="C34" s="398" t="s">
        <v>1575</v>
      </c>
      <c r="D34" s="398"/>
      <c r="E34" s="398"/>
      <c r="F34" s="398" t="s">
        <v>2462</v>
      </c>
      <c r="G34" s="132" t="str">
        <f t="shared" si="7"/>
        <v>2/4/2009</v>
      </c>
      <c r="H34" s="398">
        <v>2</v>
      </c>
      <c r="I34" s="398">
        <v>4</v>
      </c>
      <c r="J34" s="398">
        <v>2009</v>
      </c>
      <c r="K34" s="408" t="s">
        <v>538</v>
      </c>
      <c r="L34" s="399">
        <v>15583</v>
      </c>
      <c r="M34" s="392" t="s">
        <v>2381</v>
      </c>
      <c r="N34" s="402">
        <v>42244.77</v>
      </c>
      <c r="O34" s="410"/>
      <c r="P34" s="392">
        <v>10</v>
      </c>
      <c r="Q34" s="402">
        <f>(((N34)-1)/10)/12</f>
        <v>352.03141666666664</v>
      </c>
      <c r="R34" s="5">
        <v>28162.513333333332</v>
      </c>
      <c r="S34" s="380">
        <f>Q34*W34</f>
        <v>28514.544749999997</v>
      </c>
      <c r="T34" s="15">
        <f>S34-R34</f>
        <v>352.03141666666488</v>
      </c>
      <c r="U34" s="380">
        <f>N34-S34</f>
        <v>13730.22525</v>
      </c>
      <c r="W34" s="44">
        <f>IF((DATEDIF(G34,W$4,"m"))&gt;=120,120,(DATEDIF(G34,W$4,"m")))</f>
        <v>81</v>
      </c>
    </row>
    <row r="35" spans="1:23" s="392" customFormat="1" x14ac:dyDescent="0.25">
      <c r="A35" s="392" t="s">
        <v>2464</v>
      </c>
      <c r="B35" s="398" t="s">
        <v>2461</v>
      </c>
      <c r="C35" s="398" t="s">
        <v>1575</v>
      </c>
      <c r="D35" s="398"/>
      <c r="E35" s="398"/>
      <c r="F35" s="398" t="s">
        <v>2462</v>
      </c>
      <c r="G35" s="132" t="str">
        <f t="shared" si="7"/>
        <v>2/4/2009</v>
      </c>
      <c r="H35" s="398">
        <v>2</v>
      </c>
      <c r="I35" s="398">
        <v>4</v>
      </c>
      <c r="J35" s="398">
        <v>2009</v>
      </c>
      <c r="K35" s="408" t="s">
        <v>538</v>
      </c>
      <c r="L35" s="399">
        <v>15583</v>
      </c>
      <c r="M35" s="392" t="s">
        <v>2381</v>
      </c>
      <c r="N35" s="402">
        <v>42244.77</v>
      </c>
      <c r="O35" s="410"/>
      <c r="P35" s="392">
        <v>10</v>
      </c>
      <c r="Q35" s="402">
        <f>(((N35)-1)/10)/12</f>
        <v>352.03141666666664</v>
      </c>
      <c r="R35" s="5">
        <v>28162.513333333332</v>
      </c>
      <c r="S35" s="380">
        <f>Q35*W35</f>
        <v>28514.544749999997</v>
      </c>
      <c r="T35" s="15">
        <f>S35-R35</f>
        <v>352.03141666666488</v>
      </c>
      <c r="U35" s="380">
        <f>N35-S35</f>
        <v>13730.22525</v>
      </c>
      <c r="W35" s="44">
        <f>IF((DATEDIF(G35,W$4,"m"))&gt;=120,120,(DATEDIF(G35,W$4,"m")))</f>
        <v>81</v>
      </c>
    </row>
    <row r="36" spans="1:23" s="392" customFormat="1" x14ac:dyDescent="0.25">
      <c r="A36" s="105" t="s">
        <v>531</v>
      </c>
      <c r="B36" s="398"/>
      <c r="C36" s="398"/>
      <c r="D36" s="398"/>
      <c r="E36" s="398"/>
      <c r="F36" s="398"/>
      <c r="G36" s="132"/>
      <c r="H36" s="398"/>
      <c r="I36" s="398"/>
      <c r="J36" s="398"/>
      <c r="K36" s="408"/>
      <c r="L36" s="399"/>
      <c r="N36" s="115">
        <f>SUM(N33:N35)</f>
        <v>126734.31</v>
      </c>
      <c r="O36" s="115"/>
      <c r="P36" s="422"/>
      <c r="Q36" s="115">
        <f>SUM(Q33:Q35)</f>
        <v>1056.0942499999999</v>
      </c>
      <c r="R36" s="115">
        <v>84487.54</v>
      </c>
      <c r="S36" s="115">
        <f>SUM(S33:S35)</f>
        <v>85543.634249999988</v>
      </c>
      <c r="T36" s="115">
        <f>SUM(T33:T35)</f>
        <v>1056.0942499999946</v>
      </c>
      <c r="U36" s="115">
        <f>SUM(U33:U35)</f>
        <v>41190.675749999995</v>
      </c>
      <c r="W36" s="44"/>
    </row>
    <row r="37" spans="1:23" s="392" customFormat="1" x14ac:dyDescent="0.25">
      <c r="B37" s="398"/>
      <c r="C37" s="398"/>
      <c r="D37" s="398"/>
      <c r="E37" s="398"/>
      <c r="F37" s="398"/>
      <c r="G37" s="132"/>
      <c r="H37" s="398"/>
      <c r="I37" s="398"/>
      <c r="J37" s="398"/>
      <c r="K37" s="408"/>
      <c r="L37" s="399"/>
      <c r="N37" s="410"/>
      <c r="O37" s="410"/>
      <c r="Q37" s="396"/>
      <c r="R37" s="396"/>
      <c r="S37" s="396"/>
      <c r="T37" s="396"/>
      <c r="U37" s="396"/>
      <c r="W37" s="44"/>
    </row>
    <row r="38" spans="1:23" s="105" customFormat="1" x14ac:dyDescent="0.25">
      <c r="A38" s="105" t="s">
        <v>532</v>
      </c>
      <c r="B38" s="404"/>
      <c r="D38" s="405"/>
      <c r="G38" s="132"/>
      <c r="H38" s="406"/>
      <c r="I38" s="406"/>
      <c r="J38" s="407"/>
      <c r="M38" s="392"/>
      <c r="N38" s="411">
        <f>+N31+N36</f>
        <v>1044108.45</v>
      </c>
      <c r="O38" s="411"/>
      <c r="P38" s="422"/>
      <c r="Q38" s="411">
        <f>+Q31+Q36</f>
        <v>4000.7087499999998</v>
      </c>
      <c r="R38" s="411">
        <v>958769.35991666664</v>
      </c>
      <c r="S38" s="411">
        <f>+S31+S36</f>
        <v>962770.06866666663</v>
      </c>
      <c r="T38" s="411">
        <f>+T31+T36</f>
        <v>4000.7087499999839</v>
      </c>
      <c r="U38" s="411">
        <f>+U31+U36</f>
        <v>81338.381333333338</v>
      </c>
      <c r="W38" s="44"/>
    </row>
    <row r="39" spans="1:23" s="392" customFormat="1" x14ac:dyDescent="0.25">
      <c r="B39" s="391"/>
      <c r="D39" s="393"/>
      <c r="G39" s="132"/>
      <c r="H39" s="394"/>
      <c r="I39" s="394"/>
      <c r="J39" s="395"/>
      <c r="N39" s="396"/>
      <c r="O39" s="396"/>
      <c r="Q39" s="396"/>
      <c r="R39" s="396"/>
      <c r="S39" s="396"/>
      <c r="T39" s="396"/>
      <c r="U39" s="396"/>
      <c r="W39" s="44"/>
    </row>
    <row r="40" spans="1:23" s="392" customFormat="1" x14ac:dyDescent="0.25">
      <c r="A40" s="398" t="s">
        <v>2465</v>
      </c>
      <c r="B40" s="391" t="s">
        <v>2466</v>
      </c>
      <c r="D40" s="393" t="s">
        <v>2467</v>
      </c>
      <c r="E40" s="392" t="s">
        <v>2468</v>
      </c>
      <c r="F40" s="392" t="s">
        <v>2469</v>
      </c>
      <c r="G40" s="132" t="str">
        <f t="shared" si="7"/>
        <v>2/7/2010</v>
      </c>
      <c r="H40" s="412">
        <v>2</v>
      </c>
      <c r="I40" s="412">
        <v>7</v>
      </c>
      <c r="J40" s="413">
        <v>2010</v>
      </c>
      <c r="K40" s="392" t="s">
        <v>538</v>
      </c>
      <c r="L40" s="393">
        <v>14671</v>
      </c>
      <c r="M40" s="392" t="s">
        <v>2381</v>
      </c>
      <c r="N40" s="402">
        <v>580460</v>
      </c>
      <c r="O40" s="414"/>
      <c r="P40" s="392">
        <v>10</v>
      </c>
      <c r="Q40" s="402">
        <f>(((N40)-1)/10)/12</f>
        <v>4837.1583333333338</v>
      </c>
      <c r="R40" s="5">
        <v>314415.29166666669</v>
      </c>
      <c r="S40" s="380">
        <f>Q40*W40</f>
        <v>319252.45</v>
      </c>
      <c r="T40" s="15">
        <f>S40-R40</f>
        <v>4837.1583333333256</v>
      </c>
      <c r="U40" s="380">
        <f>N40-S40</f>
        <v>261207.55</v>
      </c>
      <c r="W40" s="44">
        <f>IF((DATEDIF(G40,W$4,"m"))&gt;=120,120,(DATEDIF(G40,W$4,"m")))</f>
        <v>66</v>
      </c>
    </row>
    <row r="41" spans="1:23" s="392" customFormat="1" x14ac:dyDescent="0.25">
      <c r="A41" s="392" t="s">
        <v>2470</v>
      </c>
      <c r="B41" s="391" t="s">
        <v>2466</v>
      </c>
      <c r="D41" s="393"/>
      <c r="F41" s="392" t="s">
        <v>2469</v>
      </c>
      <c r="G41" s="132" t="str">
        <f t="shared" si="7"/>
        <v>2/7/2010</v>
      </c>
      <c r="H41" s="412">
        <v>2</v>
      </c>
      <c r="I41" s="412">
        <v>7</v>
      </c>
      <c r="J41" s="413">
        <v>2010</v>
      </c>
      <c r="K41" s="392" t="s">
        <v>538</v>
      </c>
      <c r="L41" s="393">
        <v>14671</v>
      </c>
      <c r="M41" s="392" t="s">
        <v>2381</v>
      </c>
      <c r="N41" s="402">
        <v>1451150</v>
      </c>
      <c r="O41" s="415"/>
      <c r="P41" s="392">
        <v>10</v>
      </c>
      <c r="Q41" s="402">
        <f>(((N41)-1)/10)/12</f>
        <v>12092.908333333333</v>
      </c>
      <c r="R41" s="5">
        <v>786039.04166666663</v>
      </c>
      <c r="S41" s="380">
        <f>Q41*W41</f>
        <v>798131.95</v>
      </c>
      <c r="T41" s="15">
        <f>S41-R41</f>
        <v>12092.908333333326</v>
      </c>
      <c r="U41" s="380">
        <f>N41-S41</f>
        <v>653018.05000000005</v>
      </c>
      <c r="W41" s="44">
        <f>IF((DATEDIF(G41,W$4,"m"))&gt;=120,120,(DATEDIF(G41,W$4,"m")))</f>
        <v>66</v>
      </c>
    </row>
    <row r="42" spans="1:23" s="392" customFormat="1" x14ac:dyDescent="0.25">
      <c r="A42" s="392" t="s">
        <v>2471</v>
      </c>
      <c r="B42" s="391" t="s">
        <v>2466</v>
      </c>
      <c r="D42" s="393"/>
      <c r="F42" s="392" t="s">
        <v>2469</v>
      </c>
      <c r="G42" s="132" t="str">
        <f t="shared" si="7"/>
        <v>2/7/2010</v>
      </c>
      <c r="H42" s="412">
        <v>2</v>
      </c>
      <c r="I42" s="412">
        <v>7</v>
      </c>
      <c r="J42" s="413">
        <v>2010</v>
      </c>
      <c r="K42" s="392" t="s">
        <v>538</v>
      </c>
      <c r="L42" s="393">
        <v>14671</v>
      </c>
      <c r="M42" s="392" t="s">
        <v>2381</v>
      </c>
      <c r="N42" s="402">
        <v>870690</v>
      </c>
      <c r="O42" s="415"/>
      <c r="P42" s="392">
        <v>10</v>
      </c>
      <c r="Q42" s="402">
        <f>(((N42)-1)/10)/12</f>
        <v>7255.7416666666659</v>
      </c>
      <c r="R42" s="5">
        <v>471623.20833333326</v>
      </c>
      <c r="S42" s="380">
        <f>Q42*W42</f>
        <v>478878.94999999995</v>
      </c>
      <c r="T42" s="15">
        <f>S42-R42</f>
        <v>7255.7416666666977</v>
      </c>
      <c r="U42" s="380">
        <f>N42-S42</f>
        <v>391811.05000000005</v>
      </c>
      <c r="W42" s="44">
        <f>IF((DATEDIF(G42,W$4,"m"))&gt;=120,120,(DATEDIF(G42,W$4,"m")))</f>
        <v>66</v>
      </c>
    </row>
    <row r="43" spans="1:23" s="392" customFormat="1" x14ac:dyDescent="0.25">
      <c r="A43" s="105" t="s">
        <v>598</v>
      </c>
      <c r="B43" s="404"/>
      <c r="D43" s="393"/>
      <c r="G43" s="132"/>
      <c r="H43" s="394"/>
      <c r="I43" s="394"/>
      <c r="J43" s="395"/>
      <c r="N43" s="115">
        <f>SUM(N40:N42)</f>
        <v>2902300</v>
      </c>
      <c r="O43" s="115"/>
      <c r="P43" s="422"/>
      <c r="Q43" s="115">
        <f>SUM(Q40:Q42)</f>
        <v>24185.808333333331</v>
      </c>
      <c r="R43" s="115">
        <v>1572077.5416666665</v>
      </c>
      <c r="S43" s="115">
        <f>SUM(S40:S42)</f>
        <v>1596263.3499999999</v>
      </c>
      <c r="T43" s="115">
        <f>SUM(T40:T42)</f>
        <v>24185.808333333349</v>
      </c>
      <c r="U43" s="115">
        <f>SUM(U40:U42)</f>
        <v>1306036.6500000001</v>
      </c>
      <c r="W43" s="44"/>
    </row>
    <row r="44" spans="1:23" s="392" customFormat="1" x14ac:dyDescent="0.25">
      <c r="B44" s="391"/>
      <c r="D44" s="393"/>
      <c r="G44" s="132"/>
      <c r="H44" s="394"/>
      <c r="I44" s="394"/>
      <c r="J44" s="395"/>
      <c r="N44" s="396"/>
      <c r="O44" s="396"/>
      <c r="Q44" s="396"/>
      <c r="R44" s="396"/>
      <c r="S44" s="396"/>
      <c r="T44" s="396"/>
      <c r="U44" s="396"/>
      <c r="W44" s="44"/>
    </row>
    <row r="45" spans="1:23" s="392" customFormat="1" ht="15.75" customHeight="1" x14ac:dyDescent="0.25">
      <c r="B45" s="391" t="s">
        <v>2472</v>
      </c>
      <c r="C45" s="392" t="s">
        <v>2473</v>
      </c>
      <c r="D45" s="393"/>
      <c r="F45" s="392" t="s">
        <v>2474</v>
      </c>
      <c r="G45" s="132">
        <v>41556</v>
      </c>
      <c r="H45" s="412">
        <v>2</v>
      </c>
      <c r="I45" s="412">
        <v>7</v>
      </c>
      <c r="J45" s="413">
        <v>2010</v>
      </c>
      <c r="K45" s="392" t="s">
        <v>538</v>
      </c>
      <c r="L45" s="393" t="s">
        <v>2475</v>
      </c>
      <c r="M45" s="392" t="s">
        <v>2381</v>
      </c>
      <c r="N45" s="402">
        <v>65000</v>
      </c>
      <c r="O45" s="415"/>
      <c r="P45" s="392">
        <v>10</v>
      </c>
      <c r="Q45" s="402">
        <f>(((N45)-1)/10)/12</f>
        <v>541.6583333333333</v>
      </c>
      <c r="R45" s="5">
        <v>14083.116666666665</v>
      </c>
      <c r="S45" s="380">
        <f>Q45*W45</f>
        <v>14624.775</v>
      </c>
      <c r="T45" s="15">
        <f>S45-R45</f>
        <v>541.65833333333467</v>
      </c>
      <c r="U45" s="380">
        <f>N45-S45</f>
        <v>50375.224999999999</v>
      </c>
      <c r="V45" s="392">
        <v>18602</v>
      </c>
      <c r="W45" s="44">
        <f>IF((DATEDIF(G45,W$4,"m"))&gt;=120,120,(DATEDIF(G45,W$4,"m")))</f>
        <v>27</v>
      </c>
    </row>
    <row r="46" spans="1:23" s="392" customFormat="1" x14ac:dyDescent="0.25">
      <c r="A46" s="105" t="s">
        <v>801</v>
      </c>
      <c r="B46" s="404"/>
      <c r="D46" s="393"/>
      <c r="G46" s="132"/>
      <c r="H46" s="394"/>
      <c r="I46" s="394"/>
      <c r="J46" s="395"/>
      <c r="N46" s="115">
        <f>SUM(N45)</f>
        <v>65000</v>
      </c>
      <c r="O46" s="115"/>
      <c r="P46" s="422"/>
      <c r="Q46" s="115">
        <f>SUM(Q45)</f>
        <v>541.6583333333333</v>
      </c>
      <c r="R46" s="115">
        <v>14083.116666666665</v>
      </c>
      <c r="S46" s="115">
        <f>SUM(S45)</f>
        <v>14624.775</v>
      </c>
      <c r="T46" s="115">
        <f>SUM(T45)</f>
        <v>541.65833333333467</v>
      </c>
      <c r="U46" s="115">
        <f>SUM(U45)</f>
        <v>50375.224999999999</v>
      </c>
      <c r="W46" s="44"/>
    </row>
    <row r="47" spans="1:23" s="392" customFormat="1" x14ac:dyDescent="0.25">
      <c r="B47" s="391"/>
      <c r="D47" s="393"/>
      <c r="G47" s="132"/>
      <c r="H47" s="394"/>
      <c r="I47" s="394"/>
      <c r="J47" s="395"/>
      <c r="N47" s="396"/>
      <c r="O47" s="396"/>
      <c r="Q47" s="396"/>
      <c r="R47" s="396"/>
      <c r="S47" s="396"/>
      <c r="T47" s="396"/>
      <c r="U47" s="396"/>
      <c r="W47" s="44"/>
    </row>
    <row r="48" spans="1:23" s="392" customFormat="1" ht="16.5" thickBot="1" x14ac:dyDescent="0.3">
      <c r="A48" s="105" t="s">
        <v>2750</v>
      </c>
      <c r="B48" s="391"/>
      <c r="D48" s="393"/>
      <c r="G48" s="132"/>
      <c r="H48" s="394"/>
      <c r="I48" s="394"/>
      <c r="J48" s="395"/>
      <c r="N48" s="416">
        <f>+N38+N43+N46</f>
        <v>4011408.45</v>
      </c>
      <c r="O48" s="416">
        <f>+O38+O43</f>
        <v>0</v>
      </c>
      <c r="P48" s="422"/>
      <c r="Q48" s="416">
        <f>+Q38+Q43+Q46</f>
        <v>28728.175416666665</v>
      </c>
      <c r="R48" s="416">
        <v>2544930.0182499997</v>
      </c>
      <c r="S48" s="416">
        <f>+S38+S43+S46</f>
        <v>2573658.1936666663</v>
      </c>
      <c r="T48" s="416">
        <f>+T38+T43+T46</f>
        <v>28728.175416666665</v>
      </c>
      <c r="U48" s="416">
        <f>+U38+U43+U46</f>
        <v>1437750.2563333337</v>
      </c>
      <c r="W48" s="44"/>
    </row>
    <row r="49" spans="2:23" s="392" customFormat="1" ht="16.5" thickTop="1" x14ac:dyDescent="0.25">
      <c r="B49" s="391"/>
      <c r="D49" s="393"/>
      <c r="G49" s="393"/>
      <c r="H49" s="394"/>
      <c r="I49" s="394"/>
      <c r="J49" s="395"/>
      <c r="N49" s="396"/>
      <c r="O49" s="396"/>
      <c r="Q49" s="396"/>
      <c r="R49" s="396"/>
      <c r="S49" s="396"/>
      <c r="T49" s="396"/>
      <c r="U49" s="396"/>
      <c r="W49" s="44"/>
    </row>
    <row r="50" spans="2:23" s="392" customFormat="1" x14ac:dyDescent="0.25">
      <c r="B50" s="391"/>
      <c r="D50" s="393"/>
      <c r="G50" s="393"/>
      <c r="H50" s="394"/>
      <c r="I50" s="394"/>
      <c r="J50" s="395"/>
      <c r="N50" s="396"/>
      <c r="O50" s="396"/>
      <c r="Q50" s="396"/>
      <c r="R50" s="396"/>
      <c r="S50" s="396"/>
      <c r="T50" s="396"/>
      <c r="U50" s="396"/>
      <c r="W50" s="44"/>
    </row>
    <row r="51" spans="2:23" s="392" customFormat="1" x14ac:dyDescent="0.25">
      <c r="B51" s="391"/>
      <c r="D51" s="393"/>
      <c r="G51" s="393"/>
      <c r="H51" s="394"/>
      <c r="I51" s="394"/>
      <c r="J51" s="395"/>
      <c r="N51" s="396"/>
      <c r="O51" s="396"/>
      <c r="Q51" s="396"/>
      <c r="R51" s="396"/>
      <c r="S51" s="396"/>
      <c r="T51" s="396"/>
      <c r="U51" s="396"/>
      <c r="W51" s="44"/>
    </row>
    <row r="52" spans="2:23" s="392" customFormat="1" x14ac:dyDescent="0.25">
      <c r="B52" s="391"/>
      <c r="D52" s="393"/>
      <c r="G52" s="393"/>
      <c r="H52" s="394"/>
      <c r="I52" s="394"/>
      <c r="J52" s="395"/>
      <c r="N52" s="396"/>
      <c r="O52" s="396"/>
      <c r="Q52" s="396"/>
      <c r="R52" s="396"/>
      <c r="S52" s="396"/>
      <c r="T52" s="396"/>
      <c r="U52" s="396"/>
      <c r="W52" s="44"/>
    </row>
    <row r="53" spans="2:23" s="392" customFormat="1" x14ac:dyDescent="0.25">
      <c r="B53" s="391"/>
      <c r="D53" s="393"/>
      <c r="G53" s="393"/>
      <c r="H53" s="394"/>
      <c r="I53" s="394"/>
      <c r="J53" s="395"/>
      <c r="N53" s="396"/>
      <c r="O53" s="396"/>
      <c r="Q53" s="396"/>
      <c r="R53" s="396"/>
      <c r="S53" s="396"/>
      <c r="T53" s="396"/>
      <c r="U53" s="396"/>
      <c r="W53" s="44"/>
    </row>
    <row r="54" spans="2:23" s="392" customFormat="1" x14ac:dyDescent="0.25">
      <c r="B54" s="391"/>
      <c r="D54" s="393"/>
      <c r="G54" s="393"/>
      <c r="H54" s="394"/>
      <c r="I54" s="394"/>
      <c r="J54" s="395"/>
      <c r="N54" s="396"/>
      <c r="O54" s="396"/>
      <c r="Q54" s="396"/>
      <c r="R54" s="396"/>
      <c r="S54" s="396"/>
      <c r="T54" s="396"/>
      <c r="U54" s="396"/>
      <c r="W54" s="44"/>
    </row>
    <row r="55" spans="2:23" s="392" customFormat="1" x14ac:dyDescent="0.25">
      <c r="B55" s="391"/>
      <c r="D55" s="393"/>
      <c r="G55" s="393"/>
      <c r="H55" s="394"/>
      <c r="I55" s="394"/>
      <c r="J55" s="395"/>
      <c r="N55" s="396"/>
      <c r="O55" s="396"/>
      <c r="Q55" s="396"/>
      <c r="R55" s="396"/>
      <c r="S55" s="396"/>
      <c r="T55" s="396"/>
      <c r="U55" s="396"/>
      <c r="W55" s="44"/>
    </row>
    <row r="56" spans="2:23" s="392" customFormat="1" x14ac:dyDescent="0.25">
      <c r="B56" s="391"/>
      <c r="D56" s="393"/>
      <c r="G56" s="393"/>
      <c r="H56" s="394"/>
      <c r="I56" s="394"/>
      <c r="J56" s="395"/>
      <c r="N56" s="396"/>
      <c r="O56" s="396"/>
      <c r="Q56" s="396"/>
      <c r="R56" s="396"/>
      <c r="S56" s="396"/>
      <c r="T56" s="396"/>
      <c r="U56" s="396"/>
      <c r="W56" s="44"/>
    </row>
    <row r="57" spans="2:23" s="392" customFormat="1" x14ac:dyDescent="0.25">
      <c r="B57" s="391"/>
      <c r="D57" s="393"/>
      <c r="G57" s="393"/>
      <c r="H57" s="394"/>
      <c r="I57" s="394"/>
      <c r="J57" s="395"/>
      <c r="N57" s="396"/>
      <c r="O57" s="396"/>
      <c r="Q57" s="396"/>
      <c r="R57" s="396"/>
      <c r="S57" s="396"/>
      <c r="T57" s="396"/>
      <c r="U57" s="396"/>
      <c r="W57" s="44"/>
    </row>
    <row r="58" spans="2:23" s="392" customFormat="1" x14ac:dyDescent="0.25">
      <c r="B58" s="391"/>
      <c r="D58" s="393"/>
      <c r="G58" s="393"/>
      <c r="H58" s="394"/>
      <c r="I58" s="394"/>
      <c r="J58" s="395"/>
      <c r="N58" s="396"/>
      <c r="O58" s="396"/>
      <c r="Q58" s="396"/>
      <c r="R58" s="396"/>
      <c r="S58" s="396"/>
      <c r="T58" s="396"/>
      <c r="U58" s="396"/>
      <c r="W58" s="44"/>
    </row>
    <row r="59" spans="2:23" s="392" customFormat="1" x14ac:dyDescent="0.25">
      <c r="B59" s="391"/>
      <c r="D59" s="393"/>
      <c r="G59" s="393"/>
      <c r="H59" s="394"/>
      <c r="I59" s="394"/>
      <c r="J59" s="395"/>
      <c r="N59" s="396"/>
      <c r="O59" s="396"/>
      <c r="Q59" s="396"/>
      <c r="R59" s="396"/>
      <c r="S59" s="396"/>
      <c r="T59" s="396"/>
      <c r="U59" s="396"/>
      <c r="W59" s="44"/>
    </row>
    <row r="60" spans="2:23" x14ac:dyDescent="0.25">
      <c r="W60" s="44"/>
    </row>
    <row r="61" spans="2:23" x14ac:dyDescent="0.25">
      <c r="W61" s="44"/>
    </row>
    <row r="62" spans="2:23" x14ac:dyDescent="0.25">
      <c r="W62" s="44"/>
    </row>
    <row r="63" spans="2:23" x14ac:dyDescent="0.25">
      <c r="W63" s="44"/>
    </row>
    <row r="64" spans="2:23" x14ac:dyDescent="0.25">
      <c r="W64" s="44"/>
    </row>
    <row r="65" spans="23:23" x14ac:dyDescent="0.25">
      <c r="W65" s="44"/>
    </row>
    <row r="66" spans="23:23" x14ac:dyDescent="0.25">
      <c r="W66" s="44"/>
    </row>
    <row r="67" spans="23:23" x14ac:dyDescent="0.25">
      <c r="W67" s="44"/>
    </row>
    <row r="68" spans="23:23" x14ac:dyDescent="0.25">
      <c r="W68" s="44"/>
    </row>
    <row r="69" spans="23:23" x14ac:dyDescent="0.25">
      <c r="W69" s="44"/>
    </row>
    <row r="70" spans="23:23" x14ac:dyDescent="0.25">
      <c r="W70" s="44"/>
    </row>
    <row r="71" spans="23:23" x14ac:dyDescent="0.25">
      <c r="W71" s="44"/>
    </row>
    <row r="72" spans="23:23" x14ac:dyDescent="0.25">
      <c r="W72" s="44"/>
    </row>
    <row r="73" spans="23:23" x14ac:dyDescent="0.25">
      <c r="W73" s="44"/>
    </row>
    <row r="74" spans="23:23" x14ac:dyDescent="0.25">
      <c r="W74" s="44"/>
    </row>
    <row r="75" spans="23:23" x14ac:dyDescent="0.25">
      <c r="W75" s="44"/>
    </row>
    <row r="76" spans="23:23" x14ac:dyDescent="0.25">
      <c r="W76" s="44"/>
    </row>
    <row r="77" spans="23:23" x14ac:dyDescent="0.25">
      <c r="W77" s="44"/>
    </row>
    <row r="78" spans="23:23" x14ac:dyDescent="0.25">
      <c r="W78" s="44"/>
    </row>
    <row r="79" spans="23:23" x14ac:dyDescent="0.25">
      <c r="W79" s="44"/>
    </row>
    <row r="80" spans="23:23" x14ac:dyDescent="0.25">
      <c r="W80" s="44"/>
    </row>
    <row r="81" spans="23:23" x14ac:dyDescent="0.25">
      <c r="W81" s="44"/>
    </row>
    <row r="82" spans="23:23" x14ac:dyDescent="0.25">
      <c r="W82" s="44"/>
    </row>
    <row r="83" spans="23:23" x14ac:dyDescent="0.25">
      <c r="W83" s="44"/>
    </row>
    <row r="84" spans="23:23" x14ac:dyDescent="0.25">
      <c r="W84" s="44"/>
    </row>
    <row r="85" spans="23:23" x14ac:dyDescent="0.25">
      <c r="W85" s="44"/>
    </row>
    <row r="86" spans="23:23" x14ac:dyDescent="0.25">
      <c r="W86" s="44"/>
    </row>
    <row r="87" spans="23:23" x14ac:dyDescent="0.25">
      <c r="W87" s="44"/>
    </row>
    <row r="88" spans="23:23" x14ac:dyDescent="0.25">
      <c r="W88" s="44"/>
    </row>
    <row r="89" spans="23:23" x14ac:dyDescent="0.25">
      <c r="W89" s="44"/>
    </row>
    <row r="90" spans="23:23" x14ac:dyDescent="0.25">
      <c r="W90" s="44"/>
    </row>
    <row r="91" spans="23:23" x14ac:dyDescent="0.25">
      <c r="W91" s="44"/>
    </row>
    <row r="92" spans="23:23" x14ac:dyDescent="0.25">
      <c r="W92" s="44"/>
    </row>
    <row r="93" spans="23:23" x14ac:dyDescent="0.25">
      <c r="W93" s="44"/>
    </row>
    <row r="94" spans="23:23" x14ac:dyDescent="0.25">
      <c r="W94" s="44"/>
    </row>
    <row r="95" spans="23:23" x14ac:dyDescent="0.25">
      <c r="W95" s="44"/>
    </row>
    <row r="96" spans="23:23" x14ac:dyDescent="0.25">
      <c r="W96" s="44"/>
    </row>
    <row r="97" spans="23:23" x14ac:dyDescent="0.25">
      <c r="W97" s="44"/>
    </row>
    <row r="98" spans="23:23" x14ac:dyDescent="0.25">
      <c r="W98" s="44"/>
    </row>
    <row r="99" spans="23:23" x14ac:dyDescent="0.25">
      <c r="W99" s="44"/>
    </row>
    <row r="100" spans="23:23" x14ac:dyDescent="0.25">
      <c r="W100" s="44"/>
    </row>
    <row r="101" spans="23:23" x14ac:dyDescent="0.25">
      <c r="W101" s="44"/>
    </row>
    <row r="102" spans="23:23" x14ac:dyDescent="0.25">
      <c r="W102" s="44"/>
    </row>
    <row r="103" spans="23:23" x14ac:dyDescent="0.25">
      <c r="W103" s="44"/>
    </row>
    <row r="104" spans="23:23" x14ac:dyDescent="0.25">
      <c r="W104" s="44"/>
    </row>
    <row r="105" spans="23:23" x14ac:dyDescent="0.25">
      <c r="W105" s="44"/>
    </row>
    <row r="106" spans="23:23" x14ac:dyDescent="0.25">
      <c r="W106" s="44"/>
    </row>
    <row r="107" spans="23:23" x14ac:dyDescent="0.25">
      <c r="W107" s="44"/>
    </row>
    <row r="108" spans="23:23" x14ac:dyDescent="0.25">
      <c r="W108" s="44"/>
    </row>
    <row r="109" spans="23:23" x14ac:dyDescent="0.25">
      <c r="W109" s="44"/>
    </row>
    <row r="110" spans="23:23" x14ac:dyDescent="0.25">
      <c r="W110" s="44"/>
    </row>
    <row r="111" spans="23:23" x14ac:dyDescent="0.25">
      <c r="W111" s="44"/>
    </row>
    <row r="112" spans="23:23" x14ac:dyDescent="0.25">
      <c r="W112" s="44"/>
    </row>
    <row r="113" spans="23:23" x14ac:dyDescent="0.25">
      <c r="W113" s="44"/>
    </row>
    <row r="114" spans="23:23" x14ac:dyDescent="0.25">
      <c r="W114" s="44"/>
    </row>
    <row r="115" spans="23:23" x14ac:dyDescent="0.25">
      <c r="W115" s="44"/>
    </row>
    <row r="116" spans="23:23" x14ac:dyDescent="0.25">
      <c r="W116" s="44"/>
    </row>
    <row r="117" spans="23:23" x14ac:dyDescent="0.25">
      <c r="W117" s="44"/>
    </row>
    <row r="118" spans="23:23" x14ac:dyDescent="0.25">
      <c r="W118" s="44"/>
    </row>
    <row r="119" spans="23:23" x14ac:dyDescent="0.25">
      <c r="W119" s="44"/>
    </row>
    <row r="120" spans="23:23" x14ac:dyDescent="0.25">
      <c r="W120" s="44"/>
    </row>
    <row r="121" spans="23:23" x14ac:dyDescent="0.25">
      <c r="W121" s="44"/>
    </row>
    <row r="122" spans="23:23" x14ac:dyDescent="0.25">
      <c r="W122" s="44"/>
    </row>
    <row r="123" spans="23:23" x14ac:dyDescent="0.25">
      <c r="W123" s="44"/>
    </row>
    <row r="124" spans="23:23" x14ac:dyDescent="0.25">
      <c r="W124" s="44"/>
    </row>
    <row r="125" spans="23:23" x14ac:dyDescent="0.25">
      <c r="W125" s="44"/>
    </row>
    <row r="126" spans="23:23" x14ac:dyDescent="0.25">
      <c r="W126" s="44"/>
    </row>
    <row r="127" spans="23:23" x14ac:dyDescent="0.25">
      <c r="W127" s="44"/>
    </row>
    <row r="128" spans="23:23" x14ac:dyDescent="0.25">
      <c r="W128" s="44"/>
    </row>
    <row r="129" spans="23:23" x14ac:dyDescent="0.25">
      <c r="W129" s="44"/>
    </row>
    <row r="130" spans="23:23" x14ac:dyDescent="0.25">
      <c r="W130" s="44"/>
    </row>
    <row r="131" spans="23:23" x14ac:dyDescent="0.25">
      <c r="W131" s="44"/>
    </row>
    <row r="132" spans="23:23" x14ac:dyDescent="0.25">
      <c r="W132" s="44"/>
    </row>
    <row r="133" spans="23:23" x14ac:dyDescent="0.25">
      <c r="W133" s="44"/>
    </row>
    <row r="134" spans="23:23" x14ac:dyDescent="0.25">
      <c r="W134" s="44"/>
    </row>
    <row r="135" spans="23:23" x14ac:dyDescent="0.25">
      <c r="W135" s="44"/>
    </row>
    <row r="136" spans="23:23" x14ac:dyDescent="0.25">
      <c r="W136" s="44"/>
    </row>
    <row r="137" spans="23:23" x14ac:dyDescent="0.25">
      <c r="W137" s="44"/>
    </row>
    <row r="138" spans="23:23" x14ac:dyDescent="0.25">
      <c r="W138" s="44"/>
    </row>
    <row r="139" spans="23:23" x14ac:dyDescent="0.25">
      <c r="W139" s="44"/>
    </row>
    <row r="140" spans="23:23" x14ac:dyDescent="0.25">
      <c r="W140" s="44"/>
    </row>
    <row r="141" spans="23:23" x14ac:dyDescent="0.25">
      <c r="W141" s="44"/>
    </row>
    <row r="142" spans="23:23" x14ac:dyDescent="0.25">
      <c r="W142" s="44"/>
    </row>
    <row r="143" spans="23:23" x14ac:dyDescent="0.25">
      <c r="W143" s="44"/>
    </row>
    <row r="144" spans="23:23" x14ac:dyDescent="0.25">
      <c r="W144" s="44"/>
    </row>
    <row r="145" spans="23:23" x14ac:dyDescent="0.25">
      <c r="W145" s="44"/>
    </row>
    <row r="146" spans="23:23" x14ac:dyDescent="0.25">
      <c r="W146" s="44"/>
    </row>
    <row r="147" spans="23:23" x14ac:dyDescent="0.25">
      <c r="W147" s="44"/>
    </row>
    <row r="148" spans="23:23" x14ac:dyDescent="0.25">
      <c r="W148" s="44"/>
    </row>
    <row r="149" spans="23:23" x14ac:dyDescent="0.25">
      <c r="W149" s="44"/>
    </row>
    <row r="150" spans="23:23" x14ac:dyDescent="0.25">
      <c r="W150" s="44"/>
    </row>
    <row r="151" spans="23:23" x14ac:dyDescent="0.25">
      <c r="W151" s="44"/>
    </row>
    <row r="152" spans="23:23" x14ac:dyDescent="0.25">
      <c r="W152" s="44"/>
    </row>
    <row r="153" spans="23:23" x14ac:dyDescent="0.25">
      <c r="W153" s="44"/>
    </row>
    <row r="154" spans="23:23" x14ac:dyDescent="0.25">
      <c r="W154" s="44"/>
    </row>
    <row r="155" spans="23:23" x14ac:dyDescent="0.25">
      <c r="W155" s="44"/>
    </row>
    <row r="156" spans="23:23" x14ac:dyDescent="0.25">
      <c r="W156" s="44"/>
    </row>
    <row r="157" spans="23:23" x14ac:dyDescent="0.25">
      <c r="W157" s="44"/>
    </row>
    <row r="158" spans="23:23" x14ac:dyDescent="0.25">
      <c r="W158" s="44"/>
    </row>
    <row r="159" spans="23:23" x14ac:dyDescent="0.25">
      <c r="W159" s="44"/>
    </row>
    <row r="160" spans="23:23" x14ac:dyDescent="0.25">
      <c r="W160" s="44"/>
    </row>
    <row r="161" spans="23:23" x14ac:dyDescent="0.25">
      <c r="W161" s="44"/>
    </row>
    <row r="162" spans="23:23" x14ac:dyDescent="0.25">
      <c r="W162" s="44"/>
    </row>
    <row r="163" spans="23:23" x14ac:dyDescent="0.25">
      <c r="W163" s="44"/>
    </row>
    <row r="164" spans="23:23" x14ac:dyDescent="0.25">
      <c r="W164" s="44"/>
    </row>
    <row r="165" spans="23:23" x14ac:dyDescent="0.25">
      <c r="W165" s="44"/>
    </row>
    <row r="166" spans="23:23" x14ac:dyDescent="0.25">
      <c r="W166" s="44"/>
    </row>
    <row r="167" spans="23:23" x14ac:dyDescent="0.25">
      <c r="W167" s="44"/>
    </row>
    <row r="168" spans="23:23" x14ac:dyDescent="0.25">
      <c r="W168" s="44"/>
    </row>
    <row r="169" spans="23:23" x14ac:dyDescent="0.25">
      <c r="W169" s="44"/>
    </row>
    <row r="170" spans="23:23" x14ac:dyDescent="0.25">
      <c r="W170" s="44"/>
    </row>
    <row r="171" spans="23:23" x14ac:dyDescent="0.25">
      <c r="W171" s="44"/>
    </row>
    <row r="172" spans="23:23" x14ac:dyDescent="0.25">
      <c r="W172" s="44"/>
    </row>
    <row r="173" spans="23:23" x14ac:dyDescent="0.25">
      <c r="W173" s="44"/>
    </row>
    <row r="174" spans="23:23" x14ac:dyDescent="0.25">
      <c r="W174" s="44"/>
    </row>
    <row r="175" spans="23:23" x14ac:dyDescent="0.25">
      <c r="W175" s="44"/>
    </row>
    <row r="176" spans="23:23" x14ac:dyDescent="0.25">
      <c r="W176" s="44"/>
    </row>
    <row r="177" spans="23:23" x14ac:dyDescent="0.25">
      <c r="W177" s="44"/>
    </row>
    <row r="178" spans="23:23" x14ac:dyDescent="0.25">
      <c r="W178" s="44"/>
    </row>
    <row r="179" spans="23:23" x14ac:dyDescent="0.25">
      <c r="W179" s="44"/>
    </row>
    <row r="180" spans="23:23" x14ac:dyDescent="0.25">
      <c r="W180" s="44"/>
    </row>
    <row r="181" spans="23:23" x14ac:dyDescent="0.25">
      <c r="W181" s="44"/>
    </row>
    <row r="182" spans="23:23" x14ac:dyDescent="0.25">
      <c r="W182" s="44"/>
    </row>
    <row r="183" spans="23:23" x14ac:dyDescent="0.25">
      <c r="W183" s="44"/>
    </row>
    <row r="184" spans="23:23" x14ac:dyDescent="0.25">
      <c r="W184" s="44"/>
    </row>
    <row r="185" spans="23:23" x14ac:dyDescent="0.25">
      <c r="W185" s="44"/>
    </row>
    <row r="186" spans="23:23" x14ac:dyDescent="0.25">
      <c r="W186" s="44"/>
    </row>
    <row r="187" spans="23:23" x14ac:dyDescent="0.25">
      <c r="W187" s="44"/>
    </row>
    <row r="188" spans="23:23" x14ac:dyDescent="0.25">
      <c r="W188" s="44"/>
    </row>
    <row r="189" spans="23:23" x14ac:dyDescent="0.25">
      <c r="W189" s="44"/>
    </row>
    <row r="190" spans="23:23" x14ac:dyDescent="0.25">
      <c r="W190" s="44"/>
    </row>
    <row r="191" spans="23:23" x14ac:dyDescent="0.25">
      <c r="W191" s="44"/>
    </row>
    <row r="192" spans="23:23" x14ac:dyDescent="0.25">
      <c r="W192" s="44"/>
    </row>
    <row r="193" spans="23:23" x14ac:dyDescent="0.25">
      <c r="W193" s="44"/>
    </row>
    <row r="194" spans="23:23" x14ac:dyDescent="0.25">
      <c r="W194" s="44"/>
    </row>
    <row r="195" spans="23:23" x14ac:dyDescent="0.25">
      <c r="W195" s="44"/>
    </row>
    <row r="196" spans="23:23" x14ac:dyDescent="0.25">
      <c r="W196" s="44"/>
    </row>
    <row r="197" spans="23:23" x14ac:dyDescent="0.25">
      <c r="W197" s="44"/>
    </row>
    <row r="198" spans="23:23" x14ac:dyDescent="0.25">
      <c r="W198" s="44"/>
    </row>
    <row r="199" spans="23:23" x14ac:dyDescent="0.25">
      <c r="W199" s="44"/>
    </row>
    <row r="200" spans="23:23" x14ac:dyDescent="0.25">
      <c r="W200" s="44"/>
    </row>
    <row r="201" spans="23:23" x14ac:dyDescent="0.25">
      <c r="W201" s="44"/>
    </row>
    <row r="202" spans="23:23" x14ac:dyDescent="0.25">
      <c r="W202" s="44"/>
    </row>
    <row r="203" spans="23:23" x14ac:dyDescent="0.25">
      <c r="W203" s="44"/>
    </row>
    <row r="204" spans="23:23" x14ac:dyDescent="0.25">
      <c r="W204" s="44"/>
    </row>
    <row r="205" spans="23:23" x14ac:dyDescent="0.25">
      <c r="W205" s="44"/>
    </row>
    <row r="206" spans="23:23" x14ac:dyDescent="0.25">
      <c r="W206" s="44"/>
    </row>
    <row r="207" spans="23:23" x14ac:dyDescent="0.25">
      <c r="W207" s="44"/>
    </row>
    <row r="208" spans="23:23" x14ac:dyDescent="0.25">
      <c r="W208" s="44"/>
    </row>
    <row r="209" spans="23:23" x14ac:dyDescent="0.25">
      <c r="W209" s="44"/>
    </row>
    <row r="210" spans="23:23" x14ac:dyDescent="0.25">
      <c r="W210" s="44"/>
    </row>
    <row r="211" spans="23:23" x14ac:dyDescent="0.25">
      <c r="W211" s="44"/>
    </row>
    <row r="212" spans="23:23" x14ac:dyDescent="0.25">
      <c r="W212" s="44"/>
    </row>
    <row r="213" spans="23:23" x14ac:dyDescent="0.25">
      <c r="W213" s="44"/>
    </row>
    <row r="214" spans="23:23" x14ac:dyDescent="0.25">
      <c r="W214" s="44"/>
    </row>
    <row r="215" spans="23:23" x14ac:dyDescent="0.25">
      <c r="W215" s="44"/>
    </row>
    <row r="216" spans="23:23" x14ac:dyDescent="0.25">
      <c r="W216" s="44"/>
    </row>
    <row r="217" spans="23:23" x14ac:dyDescent="0.25">
      <c r="W217" s="44"/>
    </row>
    <row r="218" spans="23:23" x14ac:dyDescent="0.25">
      <c r="W218" s="44"/>
    </row>
    <row r="219" spans="23:23" x14ac:dyDescent="0.25">
      <c r="W219" s="44"/>
    </row>
    <row r="220" spans="23:23" x14ac:dyDescent="0.25">
      <c r="W220" s="44"/>
    </row>
    <row r="221" spans="23:23" x14ac:dyDescent="0.25">
      <c r="W221" s="44"/>
    </row>
    <row r="222" spans="23:23" x14ac:dyDescent="0.25">
      <c r="W222" s="44"/>
    </row>
    <row r="223" spans="23:23" x14ac:dyDescent="0.25">
      <c r="W223" s="44"/>
    </row>
    <row r="224" spans="23:23" x14ac:dyDescent="0.25">
      <c r="W224" s="44"/>
    </row>
    <row r="225" spans="23:23" x14ac:dyDescent="0.25">
      <c r="W225" s="44"/>
    </row>
    <row r="226" spans="23:23" x14ac:dyDescent="0.25">
      <c r="W226" s="44"/>
    </row>
    <row r="227" spans="23:23" x14ac:dyDescent="0.25">
      <c r="W227" s="44"/>
    </row>
    <row r="228" spans="23:23" x14ac:dyDescent="0.25">
      <c r="W228" s="44"/>
    </row>
    <row r="229" spans="23:23" x14ac:dyDescent="0.25">
      <c r="W229" s="44"/>
    </row>
    <row r="230" spans="23:23" x14ac:dyDescent="0.25">
      <c r="W230" s="44"/>
    </row>
    <row r="231" spans="23:23" x14ac:dyDescent="0.25">
      <c r="W231" s="417"/>
    </row>
    <row r="232" spans="23:23" x14ac:dyDescent="0.25">
      <c r="W232" s="44">
        <f t="shared" ref="W232:W247" si="8">IF((DATEDIF(G232,W$4,"m"))&gt;=36,36,(DATEDIF(G232,W$4,"m")))</f>
        <v>36</v>
      </c>
    </row>
    <row r="233" spans="23:23" x14ac:dyDescent="0.25">
      <c r="W233" s="44">
        <f t="shared" si="8"/>
        <v>36</v>
      </c>
    </row>
    <row r="234" spans="23:23" x14ac:dyDescent="0.25">
      <c r="W234" s="44">
        <f t="shared" si="8"/>
        <v>36</v>
      </c>
    </row>
    <row r="235" spans="23:23" x14ac:dyDescent="0.25">
      <c r="W235" s="44">
        <f t="shared" si="8"/>
        <v>36</v>
      </c>
    </row>
    <row r="236" spans="23:23" x14ac:dyDescent="0.25">
      <c r="W236" s="44">
        <f t="shared" si="8"/>
        <v>36</v>
      </c>
    </row>
    <row r="237" spans="23:23" x14ac:dyDescent="0.25">
      <c r="W237" s="44">
        <f t="shared" si="8"/>
        <v>36</v>
      </c>
    </row>
    <row r="238" spans="23:23" x14ac:dyDescent="0.25">
      <c r="W238" s="44">
        <f t="shared" si="8"/>
        <v>36</v>
      </c>
    </row>
    <row r="239" spans="23:23" x14ac:dyDescent="0.25">
      <c r="W239" s="44">
        <f t="shared" si="8"/>
        <v>36</v>
      </c>
    </row>
    <row r="240" spans="23:23" x14ac:dyDescent="0.25">
      <c r="W240" s="44">
        <f t="shared" si="8"/>
        <v>36</v>
      </c>
    </row>
    <row r="241" spans="23:23" x14ac:dyDescent="0.25">
      <c r="W241" s="44">
        <f t="shared" si="8"/>
        <v>36</v>
      </c>
    </row>
    <row r="242" spans="23:23" x14ac:dyDescent="0.25">
      <c r="W242" s="44">
        <f t="shared" si="8"/>
        <v>36</v>
      </c>
    </row>
    <row r="243" spans="23:23" x14ac:dyDescent="0.25">
      <c r="W243" s="44">
        <f t="shared" si="8"/>
        <v>36</v>
      </c>
    </row>
    <row r="244" spans="23:23" x14ac:dyDescent="0.25">
      <c r="W244" s="44">
        <f t="shared" si="8"/>
        <v>36</v>
      </c>
    </row>
    <row r="245" spans="23:23" x14ac:dyDescent="0.25">
      <c r="W245" s="44">
        <f t="shared" si="8"/>
        <v>36</v>
      </c>
    </row>
    <row r="246" spans="23:23" x14ac:dyDescent="0.25">
      <c r="W246" s="44">
        <f t="shared" si="8"/>
        <v>36</v>
      </c>
    </row>
    <row r="247" spans="23:23" x14ac:dyDescent="0.25">
      <c r="W247" s="44">
        <f t="shared" si="8"/>
        <v>36</v>
      </c>
    </row>
    <row r="248" spans="23:23" x14ac:dyDescent="0.25">
      <c r="W248" s="418"/>
    </row>
  </sheetData>
  <sheetProtection sort="0" autoFilter="0"/>
  <autoFilter ref="A6:U31">
    <filterColumn colId="19">
      <filters>
        <filter val="0.00"/>
      </filters>
    </filterColumn>
  </autoFilter>
  <mergeCells count="5">
    <mergeCell ref="A1:U1"/>
    <mergeCell ref="A2:U2"/>
    <mergeCell ref="A3:U3"/>
    <mergeCell ref="H5:J5"/>
    <mergeCell ref="Q5:S5"/>
  </mergeCells>
  <printOptions horizontalCentered="1"/>
  <pageMargins left="0.78740157480314965" right="0.78740157480314965" top="0.98425196850393704" bottom="0.98425196850393704" header="0" footer="0.51181102362204722"/>
  <pageSetup paperSize="5" scale="57" fitToHeight="6" orientation="landscape" r:id="rId1"/>
  <headerFooter alignWithMargins="0">
    <oddFooter>Página &amp;P&amp;R&amp;A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7"/>
  <sheetViews>
    <sheetView zoomScaleNormal="100" workbookViewId="0">
      <selection activeCell="P7" sqref="P7"/>
    </sheetView>
  </sheetViews>
  <sheetFormatPr baseColWidth="10" defaultRowHeight="12.75" x14ac:dyDescent="0.2"/>
  <cols>
    <col min="1" max="1" width="36.7109375" style="525" customWidth="1"/>
    <col min="2" max="2" width="26.7109375" style="374" customWidth="1"/>
    <col min="3" max="3" width="21" style="374" customWidth="1"/>
    <col min="4" max="6" width="6.7109375" style="374" hidden="1" customWidth="1"/>
    <col min="7" max="7" width="11.42578125" style="374"/>
    <col min="8" max="8" width="14.7109375" style="523" customWidth="1"/>
    <col min="9" max="11" width="15.7109375" style="523" customWidth="1"/>
    <col min="12" max="12" width="15.7109375" style="374" customWidth="1"/>
    <col min="13" max="13" width="15.7109375" style="524" customWidth="1"/>
    <col min="14" max="14" width="12.85546875" style="523" bestFit="1" customWidth="1"/>
    <col min="15" max="15" width="14.5703125" style="523" customWidth="1"/>
    <col min="16" max="16" width="14.85546875" style="523" bestFit="1" customWidth="1"/>
    <col min="17" max="17" width="14" style="523" customWidth="1"/>
    <col min="18" max="18" width="14.7109375" style="523" customWidth="1"/>
    <col min="19" max="16384" width="11.42578125" style="374"/>
  </cols>
  <sheetData>
    <row r="1" spans="1:20" s="371" customFormat="1" ht="20.25" x14ac:dyDescent="0.3">
      <c r="A1" s="655" t="s">
        <v>0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655"/>
      <c r="R1" s="655"/>
      <c r="T1" s="372"/>
    </row>
    <row r="2" spans="1:20" s="373" customFormat="1" ht="20.25" x14ac:dyDescent="0.3">
      <c r="A2" s="656" t="s">
        <v>2640</v>
      </c>
      <c r="B2" s="656"/>
      <c r="C2" s="656"/>
      <c r="D2" s="656"/>
      <c r="E2" s="656"/>
      <c r="F2" s="656"/>
      <c r="G2" s="656"/>
      <c r="H2" s="656"/>
      <c r="I2" s="656"/>
      <c r="J2" s="656"/>
      <c r="K2" s="656"/>
      <c r="L2" s="656"/>
      <c r="M2" s="656"/>
      <c r="N2" s="656"/>
      <c r="O2" s="656"/>
      <c r="P2" s="656"/>
      <c r="Q2" s="656"/>
      <c r="R2" s="656"/>
      <c r="T2" s="372"/>
    </row>
    <row r="3" spans="1:20" x14ac:dyDescent="0.2">
      <c r="A3" s="674" t="str">
        <f>'Equipos de Producción'!A3:S3</f>
        <v>(Al 31 de Enero del 2016)</v>
      </c>
      <c r="B3" s="674"/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  <c r="T3" s="372"/>
    </row>
    <row r="4" spans="1:20" x14ac:dyDescent="0.2">
      <c r="A4" s="374"/>
      <c r="H4" s="374"/>
      <c r="I4" s="374"/>
      <c r="J4" s="374"/>
      <c r="K4" s="374"/>
      <c r="M4" s="374"/>
      <c r="N4" s="374"/>
      <c r="O4" s="374"/>
      <c r="P4" s="374"/>
      <c r="Q4" s="374"/>
      <c r="R4" s="374"/>
      <c r="T4" s="121">
        <f>'Equipos de Producción'!$W$4</f>
        <v>42400</v>
      </c>
    </row>
    <row r="5" spans="1:20" s="377" customFormat="1" ht="15.75" x14ac:dyDescent="0.25">
      <c r="A5" s="378"/>
      <c r="D5" s="657" t="s">
        <v>2</v>
      </c>
      <c r="E5" s="658"/>
      <c r="F5" s="659"/>
      <c r="H5" s="380"/>
      <c r="I5" s="380"/>
      <c r="J5" s="380"/>
      <c r="K5" s="380"/>
      <c r="M5" s="528"/>
      <c r="N5" s="660" t="s">
        <v>3</v>
      </c>
      <c r="O5" s="661"/>
      <c r="P5" s="661"/>
      <c r="Q5" s="662"/>
      <c r="R5" s="380"/>
      <c r="T5" s="45"/>
    </row>
    <row r="6" spans="1:20" s="386" customFormat="1" ht="63" x14ac:dyDescent="0.25">
      <c r="A6" s="381" t="s">
        <v>7</v>
      </c>
      <c r="B6" s="381" t="s">
        <v>11</v>
      </c>
      <c r="C6" s="381" t="s">
        <v>818</v>
      </c>
      <c r="D6" s="383" t="s">
        <v>13</v>
      </c>
      <c r="E6" s="383" t="s">
        <v>14</v>
      </c>
      <c r="F6" s="384" t="s">
        <v>15</v>
      </c>
      <c r="G6" s="381" t="s">
        <v>18</v>
      </c>
      <c r="H6" s="385" t="s">
        <v>2639</v>
      </c>
      <c r="I6" s="385" t="s">
        <v>2638</v>
      </c>
      <c r="J6" s="385" t="s">
        <v>2637</v>
      </c>
      <c r="K6" s="385" t="s">
        <v>2636</v>
      </c>
      <c r="L6" s="527" t="s">
        <v>2635</v>
      </c>
      <c r="M6" s="526" t="s">
        <v>2634</v>
      </c>
      <c r="N6" s="9" t="s">
        <v>22</v>
      </c>
      <c r="O6" s="10" t="str">
        <f>+'Equipos de Producción'!$R$6</f>
        <v>Acumulada Diciembre 2015</v>
      </c>
      <c r="P6" s="10" t="str">
        <f>+'Equipos de Producción'!$S$6</f>
        <v>Acumulada Enero 2016</v>
      </c>
      <c r="Q6" s="10" t="str">
        <f>+'Equipos de Producción'!$T$6</f>
        <v>Deprec. a Registrar Enero 2016</v>
      </c>
      <c r="R6" s="129" t="s">
        <v>23</v>
      </c>
      <c r="T6" s="387" t="s">
        <v>25</v>
      </c>
    </row>
    <row r="7" spans="1:20" ht="47.25" x14ac:dyDescent="0.25">
      <c r="A7" s="537" t="s">
        <v>2633</v>
      </c>
      <c r="B7" s="476" t="s">
        <v>2380</v>
      </c>
      <c r="C7" s="364" t="str">
        <f>CONCATENATE(D7,"/",E7,"/",F7,)</f>
        <v>31/12/2003</v>
      </c>
      <c r="D7" s="374">
        <v>31</v>
      </c>
      <c r="E7" s="374">
        <v>12</v>
      </c>
      <c r="F7" s="374">
        <v>2003</v>
      </c>
      <c r="G7" s="201" t="s">
        <v>2632</v>
      </c>
      <c r="H7" s="5">
        <f>31840000</f>
        <v>31840000</v>
      </c>
      <c r="I7" s="5">
        <f>-2100000-1075000-1456800-24000</f>
        <v>-4655800</v>
      </c>
      <c r="J7" s="5">
        <f>2684468.35+5000000</f>
        <v>7684468.3499999996</v>
      </c>
      <c r="K7" s="5">
        <f>2702832.19+9226.22+5285741.58+2047189</f>
        <v>10044988.99</v>
      </c>
      <c r="L7" s="5">
        <f>SUM(H7:J7)+K7</f>
        <v>44913657.340000004</v>
      </c>
      <c r="M7" s="536">
        <v>50</v>
      </c>
      <c r="N7" s="5">
        <f>(((L7)-1)/50)/12</f>
        <v>74856.093900000007</v>
      </c>
      <c r="O7" s="5">
        <v>10779277.521600001</v>
      </c>
      <c r="P7" s="5">
        <f>N7*T7</f>
        <v>10854133.615500001</v>
      </c>
      <c r="Q7" s="15">
        <f>P7-O7</f>
        <v>74856.093900000677</v>
      </c>
      <c r="R7" s="5">
        <f>L7-P7</f>
        <v>34059523.7245</v>
      </c>
      <c r="T7" s="44">
        <f>IF((DATEDIF(C7,T$4,"m"))&gt;=600,600,(DATEDIF(C7,T$4,"m")))</f>
        <v>145</v>
      </c>
    </row>
  </sheetData>
  <mergeCells count="5">
    <mergeCell ref="A1:R1"/>
    <mergeCell ref="A2:R2"/>
    <mergeCell ref="A3:R3"/>
    <mergeCell ref="D5:F5"/>
    <mergeCell ref="N5:Q5"/>
  </mergeCells>
  <printOptions horizontalCentered="1"/>
  <pageMargins left="0.78740157480314965" right="0.78740157480314965" top="0.98425196850393704" bottom="0.98425196850393704" header="0" footer="0.51181102362204722"/>
  <pageSetup paperSize="5" scale="65" fitToHeight="2" orientation="landscape" r:id="rId1"/>
  <headerFooter alignWithMargins="0">
    <oddFooter>Página &amp;P&amp;R&amp;A</oddFooter>
  </headerFooter>
  <colBreaks count="1" manualBreakCount="1">
    <brk id="1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J63"/>
  <sheetViews>
    <sheetView topLeftCell="A28" workbookViewId="0">
      <selection activeCell="H58" sqref="H58"/>
    </sheetView>
  </sheetViews>
  <sheetFormatPr baseColWidth="10" defaultColWidth="9.140625" defaultRowHeight="15.75" x14ac:dyDescent="0.25"/>
  <cols>
    <col min="1" max="1" width="39.7109375" style="111" customWidth="1"/>
    <col min="2" max="2" width="18.7109375" style="111" customWidth="1"/>
    <col min="3" max="3" width="12.7109375" style="111" customWidth="1"/>
    <col min="4" max="6" width="6.7109375" style="111" customWidth="1"/>
    <col min="7" max="7" width="14.7109375" style="111" customWidth="1"/>
    <col min="8" max="8" width="15.7109375" style="111" customWidth="1"/>
    <col min="9" max="9" width="24.140625" style="111" customWidth="1"/>
    <col min="10" max="10" width="12.5703125" style="111" customWidth="1"/>
    <col min="11" max="16384" width="9.140625" style="111"/>
  </cols>
  <sheetData>
    <row r="1" spans="1:10" ht="12.75" customHeight="1" x14ac:dyDescent="0.25">
      <c r="A1" s="681" t="s">
        <v>0</v>
      </c>
      <c r="B1" s="681"/>
      <c r="C1" s="681"/>
      <c r="D1" s="681"/>
      <c r="E1" s="681"/>
      <c r="F1" s="681"/>
      <c r="G1" s="681"/>
      <c r="H1" s="681"/>
      <c r="I1" s="681"/>
      <c r="J1" s="681"/>
    </row>
    <row r="2" spans="1:10" ht="12.75" customHeight="1" x14ac:dyDescent="0.25">
      <c r="A2" s="681"/>
      <c r="B2" s="681"/>
      <c r="C2" s="681"/>
      <c r="D2" s="681"/>
      <c r="E2" s="681"/>
      <c r="F2" s="681"/>
      <c r="G2" s="681"/>
      <c r="H2" s="681"/>
      <c r="I2" s="681"/>
      <c r="J2" s="681"/>
    </row>
    <row r="3" spans="1:10" s="295" customFormat="1" x14ac:dyDescent="0.25">
      <c r="A3" s="681" t="s">
        <v>2656</v>
      </c>
      <c r="B3" s="681"/>
      <c r="C3" s="681"/>
      <c r="D3" s="681"/>
      <c r="E3" s="681"/>
      <c r="F3" s="681"/>
      <c r="G3" s="681"/>
      <c r="H3" s="681"/>
      <c r="I3" s="681"/>
      <c r="J3" s="681"/>
    </row>
    <row r="4" spans="1:10" s="295" customFormat="1" x14ac:dyDescent="0.25">
      <c r="A4" s="681" t="str">
        <f>'Equipos de Producción'!A3:S3</f>
        <v>(Al 31 de Enero del 2016)</v>
      </c>
      <c r="B4" s="681"/>
      <c r="C4" s="681"/>
      <c r="D4" s="681"/>
      <c r="E4" s="681"/>
      <c r="F4" s="681"/>
      <c r="G4" s="681"/>
      <c r="H4" s="681"/>
      <c r="I4" s="681"/>
      <c r="J4" s="681"/>
    </row>
    <row r="5" spans="1:10" s="295" customFormat="1" x14ac:dyDescent="0.25">
      <c r="A5" s="538"/>
      <c r="B5" s="538"/>
      <c r="C5" s="538"/>
      <c r="D5" s="538"/>
      <c r="E5" s="538"/>
      <c r="F5" s="538"/>
      <c r="G5" s="538"/>
      <c r="H5" s="538"/>
      <c r="I5" s="538"/>
      <c r="J5" s="538"/>
    </row>
    <row r="6" spans="1:10" x14ac:dyDescent="0.25">
      <c r="D6" s="682" t="s">
        <v>2</v>
      </c>
      <c r="E6" s="682"/>
      <c r="F6" s="682"/>
    </row>
    <row r="7" spans="1:10" x14ac:dyDescent="0.25">
      <c r="A7" s="539" t="s">
        <v>7</v>
      </c>
      <c r="B7" s="539" t="s">
        <v>2657</v>
      </c>
      <c r="C7" s="539" t="s">
        <v>2658</v>
      </c>
      <c r="D7" s="539" t="s">
        <v>13</v>
      </c>
      <c r="E7" s="539" t="s">
        <v>14</v>
      </c>
      <c r="F7" s="539" t="s">
        <v>15</v>
      </c>
      <c r="G7" s="539" t="s">
        <v>2659</v>
      </c>
      <c r="H7" s="540" t="s">
        <v>2660</v>
      </c>
      <c r="I7" s="540" t="s">
        <v>6</v>
      </c>
      <c r="J7" s="540" t="s">
        <v>2661</v>
      </c>
    </row>
    <row r="8" spans="1:10" x14ac:dyDescent="0.25">
      <c r="A8" s="295"/>
      <c r="D8" s="119"/>
      <c r="E8" s="119"/>
      <c r="F8" s="119"/>
    </row>
    <row r="9" spans="1:10" s="295" customFormat="1" x14ac:dyDescent="0.25">
      <c r="A9" s="295" t="s">
        <v>2662</v>
      </c>
      <c r="D9" s="538"/>
      <c r="E9" s="538"/>
      <c r="F9" s="538"/>
    </row>
    <row r="10" spans="1:10" ht="31.5" x14ac:dyDescent="0.25">
      <c r="A10" s="111" t="s">
        <v>2663</v>
      </c>
      <c r="B10" s="111" t="s">
        <v>2664</v>
      </c>
      <c r="C10" s="119" t="s">
        <v>2665</v>
      </c>
      <c r="D10" s="119">
        <v>28</v>
      </c>
      <c r="E10" s="119">
        <v>11</v>
      </c>
      <c r="F10" s="119">
        <v>2003</v>
      </c>
      <c r="G10" s="119" t="s">
        <v>2666</v>
      </c>
      <c r="H10" s="541">
        <v>15000</v>
      </c>
      <c r="I10" s="542" t="s">
        <v>1528</v>
      </c>
      <c r="J10" s="111">
        <v>3314</v>
      </c>
    </row>
    <row r="11" spans="1:10" x14ac:dyDescent="0.25">
      <c r="A11" s="111" t="s">
        <v>2667</v>
      </c>
      <c r="B11" s="111" t="s">
        <v>2668</v>
      </c>
      <c r="C11" s="119" t="s">
        <v>2669</v>
      </c>
      <c r="D11" s="119">
        <v>27</v>
      </c>
      <c r="E11" s="119">
        <v>11</v>
      </c>
      <c r="F11" s="119">
        <v>2003</v>
      </c>
      <c r="G11" s="119" t="s">
        <v>2666</v>
      </c>
      <c r="H11" s="541">
        <v>7000</v>
      </c>
      <c r="I11" s="541"/>
      <c r="J11" s="111">
        <v>3418</v>
      </c>
    </row>
    <row r="12" spans="1:10" x14ac:dyDescent="0.25">
      <c r="C12" s="119"/>
      <c r="D12" s="119"/>
      <c r="E12" s="119"/>
      <c r="F12" s="119"/>
      <c r="G12" s="119"/>
      <c r="H12" s="541"/>
      <c r="I12" s="541"/>
    </row>
    <row r="13" spans="1:10" x14ac:dyDescent="0.25">
      <c r="A13" s="295" t="s">
        <v>2670</v>
      </c>
      <c r="D13" s="119"/>
      <c r="E13" s="119"/>
      <c r="F13" s="119"/>
    </row>
    <row r="14" spans="1:10" x14ac:dyDescent="0.25">
      <c r="A14" s="111" t="s">
        <v>2839</v>
      </c>
      <c r="B14" s="111" t="s">
        <v>2671</v>
      </c>
      <c r="C14" s="119" t="s">
        <v>2665</v>
      </c>
      <c r="D14" s="119">
        <v>26</v>
      </c>
      <c r="E14" s="119">
        <v>11</v>
      </c>
      <c r="F14" s="119">
        <v>2003</v>
      </c>
      <c r="G14" s="119" t="s">
        <v>2666</v>
      </c>
      <c r="H14" s="541">
        <v>13000</v>
      </c>
      <c r="I14" s="541" t="s">
        <v>2672</v>
      </c>
      <c r="J14" s="111">
        <v>3320</v>
      </c>
    </row>
    <row r="15" spans="1:10" x14ac:dyDescent="0.25">
      <c r="A15" s="111" t="s">
        <v>2673</v>
      </c>
      <c r="B15" s="111" t="s">
        <v>2674</v>
      </c>
      <c r="C15" s="119" t="s">
        <v>2675</v>
      </c>
      <c r="D15" s="119">
        <v>28</v>
      </c>
      <c r="E15" s="119">
        <v>11</v>
      </c>
      <c r="F15" s="119">
        <v>2003</v>
      </c>
      <c r="G15" s="119" t="s">
        <v>2666</v>
      </c>
      <c r="H15" s="541">
        <v>25000</v>
      </c>
      <c r="I15" s="543" t="s">
        <v>2676</v>
      </c>
      <c r="J15" s="111">
        <v>3314</v>
      </c>
    </row>
    <row r="16" spans="1:10" ht="31.5" x14ac:dyDescent="0.25">
      <c r="A16" s="111" t="s">
        <v>2677</v>
      </c>
      <c r="B16" s="111" t="s">
        <v>2678</v>
      </c>
      <c r="C16" s="119" t="s">
        <v>2675</v>
      </c>
      <c r="D16" s="119">
        <v>28</v>
      </c>
      <c r="E16" s="119">
        <v>11</v>
      </c>
      <c r="F16" s="119">
        <v>2003</v>
      </c>
      <c r="G16" s="119" t="s">
        <v>2666</v>
      </c>
      <c r="H16" s="541">
        <v>7000</v>
      </c>
      <c r="I16" s="543" t="s">
        <v>2679</v>
      </c>
      <c r="J16" s="111">
        <v>3422</v>
      </c>
    </row>
    <row r="17" spans="1:10" x14ac:dyDescent="0.25">
      <c r="C17" s="119"/>
      <c r="D17" s="119"/>
      <c r="E17" s="119"/>
      <c r="F17" s="119"/>
      <c r="G17" s="119"/>
      <c r="H17" s="541"/>
      <c r="I17" s="541"/>
    </row>
    <row r="18" spans="1:10" s="295" customFormat="1" x14ac:dyDescent="0.25">
      <c r="A18" s="295" t="s">
        <v>2680</v>
      </c>
      <c r="D18" s="538"/>
      <c r="E18" s="538"/>
      <c r="F18" s="538"/>
    </row>
    <row r="19" spans="1:10" x14ac:dyDescent="0.25">
      <c r="A19" s="111" t="s">
        <v>2681</v>
      </c>
      <c r="B19" s="111" t="s">
        <v>2682</v>
      </c>
      <c r="C19" s="119" t="s">
        <v>2675</v>
      </c>
      <c r="D19" s="119">
        <v>28</v>
      </c>
      <c r="E19" s="119">
        <v>11</v>
      </c>
      <c r="F19" s="119">
        <v>2003</v>
      </c>
      <c r="G19" s="119" t="s">
        <v>2666</v>
      </c>
      <c r="H19" s="541">
        <v>35525</v>
      </c>
      <c r="I19" s="543" t="s">
        <v>2683</v>
      </c>
      <c r="J19" s="111">
        <v>3314</v>
      </c>
    </row>
    <row r="20" spans="1:10" x14ac:dyDescent="0.25">
      <c r="A20" s="111" t="s">
        <v>2684</v>
      </c>
      <c r="B20" s="111" t="s">
        <v>2685</v>
      </c>
      <c r="C20" s="119" t="s">
        <v>2665</v>
      </c>
      <c r="D20" s="119">
        <v>28</v>
      </c>
      <c r="E20" s="119">
        <v>11</v>
      </c>
      <c r="F20" s="119">
        <v>2003</v>
      </c>
      <c r="G20" s="119" t="s">
        <v>2666</v>
      </c>
      <c r="H20" s="541">
        <v>20500</v>
      </c>
      <c r="I20" s="541"/>
      <c r="J20" s="111">
        <v>3422</v>
      </c>
    </row>
    <row r="21" spans="1:10" x14ac:dyDescent="0.25">
      <c r="D21" s="119"/>
      <c r="E21" s="119"/>
      <c r="F21" s="119"/>
      <c r="H21" s="541"/>
      <c r="I21" s="541"/>
    </row>
    <row r="22" spans="1:10" s="295" customFormat="1" x14ac:dyDescent="0.25">
      <c r="A22" s="295" t="s">
        <v>2686</v>
      </c>
      <c r="D22" s="538"/>
      <c r="E22" s="538"/>
      <c r="F22" s="538"/>
    </row>
    <row r="23" spans="1:10" x14ac:dyDescent="0.25">
      <c r="A23" s="111" t="s">
        <v>2687</v>
      </c>
      <c r="B23" s="111" t="s">
        <v>2688</v>
      </c>
      <c r="C23" s="119" t="s">
        <v>2675</v>
      </c>
      <c r="D23" s="119">
        <v>27</v>
      </c>
      <c r="E23" s="119">
        <v>11</v>
      </c>
      <c r="F23" s="119">
        <v>2003</v>
      </c>
      <c r="G23" s="119" t="s">
        <v>2666</v>
      </c>
      <c r="H23" s="541">
        <v>6000</v>
      </c>
      <c r="I23" s="541"/>
      <c r="J23" s="111">
        <v>3418</v>
      </c>
    </row>
    <row r="24" spans="1:10" x14ac:dyDescent="0.25">
      <c r="D24" s="119"/>
      <c r="E24" s="119"/>
      <c r="F24" s="119"/>
      <c r="H24" s="541"/>
      <c r="I24" s="541"/>
    </row>
    <row r="25" spans="1:10" x14ac:dyDescent="0.25">
      <c r="A25" s="295" t="s">
        <v>2689</v>
      </c>
      <c r="D25" s="119"/>
      <c r="E25" s="119"/>
      <c r="F25" s="119"/>
    </row>
    <row r="26" spans="1:10" x14ac:dyDescent="0.25">
      <c r="A26" s="111" t="s">
        <v>2690</v>
      </c>
      <c r="B26" s="111" t="s">
        <v>2688</v>
      </c>
      <c r="C26" s="119" t="s">
        <v>2675</v>
      </c>
      <c r="D26" s="119">
        <v>26</v>
      </c>
      <c r="E26" s="119">
        <v>11</v>
      </c>
      <c r="F26" s="119">
        <v>2003</v>
      </c>
      <c r="G26" s="119" t="s">
        <v>2666</v>
      </c>
      <c r="H26" s="541">
        <v>6000</v>
      </c>
      <c r="I26" s="541"/>
      <c r="J26" s="111">
        <v>3320</v>
      </c>
    </row>
    <row r="27" spans="1:10" x14ac:dyDescent="0.25">
      <c r="A27" s="111" t="s">
        <v>2687</v>
      </c>
      <c r="B27" s="111" t="s">
        <v>2668</v>
      </c>
      <c r="C27" s="119" t="s">
        <v>2691</v>
      </c>
      <c r="D27" s="119">
        <v>26</v>
      </c>
      <c r="E27" s="119">
        <v>11</v>
      </c>
      <c r="F27" s="119">
        <v>2003</v>
      </c>
      <c r="G27" s="119" t="s">
        <v>2666</v>
      </c>
      <c r="H27" s="541">
        <v>6000</v>
      </c>
      <c r="I27" s="541"/>
      <c r="J27" s="111">
        <v>3320</v>
      </c>
    </row>
    <row r="28" spans="1:10" x14ac:dyDescent="0.25">
      <c r="C28" s="119"/>
      <c r="D28" s="119"/>
      <c r="E28" s="119"/>
      <c r="F28" s="119"/>
      <c r="G28" s="119"/>
      <c r="H28" s="541"/>
      <c r="I28" s="541"/>
    </row>
    <row r="29" spans="1:10" s="295" customFormat="1" x14ac:dyDescent="0.25">
      <c r="A29" s="295" t="s">
        <v>2692</v>
      </c>
      <c r="D29" s="538"/>
      <c r="E29" s="538"/>
      <c r="F29" s="538"/>
    </row>
    <row r="30" spans="1:10" x14ac:dyDescent="0.25">
      <c r="A30" s="111" t="s">
        <v>2687</v>
      </c>
      <c r="B30" s="111" t="s">
        <v>2693</v>
      </c>
      <c r="C30" s="119" t="s">
        <v>2694</v>
      </c>
      <c r="D30" s="119">
        <v>27</v>
      </c>
      <c r="E30" s="119">
        <v>11</v>
      </c>
      <c r="F30" s="119">
        <v>2003</v>
      </c>
      <c r="G30" s="119" t="s">
        <v>2666</v>
      </c>
      <c r="H30" s="541">
        <v>25500</v>
      </c>
      <c r="I30" s="541" t="s">
        <v>2695</v>
      </c>
      <c r="J30" s="111">
        <v>3321</v>
      </c>
    </row>
    <row r="31" spans="1:10" x14ac:dyDescent="0.25">
      <c r="A31" s="111" t="s">
        <v>2696</v>
      </c>
      <c r="B31" s="111" t="s">
        <v>2697</v>
      </c>
      <c r="C31" s="119" t="s">
        <v>2675</v>
      </c>
      <c r="D31" s="119">
        <v>27</v>
      </c>
      <c r="E31" s="119">
        <v>11</v>
      </c>
      <c r="F31" s="119">
        <v>2003</v>
      </c>
      <c r="G31" s="119" t="s">
        <v>2666</v>
      </c>
      <c r="H31" s="541">
        <v>25500</v>
      </c>
      <c r="I31" s="541" t="s">
        <v>215</v>
      </c>
      <c r="J31" s="111">
        <v>3321</v>
      </c>
    </row>
    <row r="32" spans="1:10" ht="31.5" x14ac:dyDescent="0.25">
      <c r="A32" s="111" t="s">
        <v>2698</v>
      </c>
      <c r="B32" s="111" t="s">
        <v>2699</v>
      </c>
      <c r="C32" s="119" t="s">
        <v>2675</v>
      </c>
      <c r="D32" s="119">
        <v>27</v>
      </c>
      <c r="E32" s="119">
        <v>11</v>
      </c>
      <c r="F32" s="119">
        <v>2003</v>
      </c>
      <c r="G32" s="119" t="s">
        <v>2666</v>
      </c>
      <c r="H32" s="541">
        <v>7000</v>
      </c>
      <c r="I32" s="543" t="s">
        <v>2700</v>
      </c>
      <c r="J32" s="111">
        <v>3321</v>
      </c>
    </row>
    <row r="33" spans="1:10" x14ac:dyDescent="0.25">
      <c r="A33" s="103" t="s">
        <v>2701</v>
      </c>
      <c r="B33" s="103" t="s">
        <v>2702</v>
      </c>
      <c r="C33" s="119" t="s">
        <v>2669</v>
      </c>
      <c r="D33" s="119">
        <v>27</v>
      </c>
      <c r="E33" s="119">
        <v>11</v>
      </c>
      <c r="F33" s="119">
        <v>2003</v>
      </c>
      <c r="G33" s="119" t="s">
        <v>2666</v>
      </c>
      <c r="H33" s="541">
        <v>45500</v>
      </c>
      <c r="I33" s="541" t="s">
        <v>2703</v>
      </c>
      <c r="J33" s="111">
        <v>3418</v>
      </c>
    </row>
    <row r="34" spans="1:10" x14ac:dyDescent="0.25">
      <c r="C34" s="119"/>
      <c r="D34" s="119"/>
      <c r="E34" s="119"/>
      <c r="F34" s="119"/>
      <c r="G34" s="119"/>
      <c r="H34" s="541"/>
      <c r="I34" s="541"/>
    </row>
    <row r="35" spans="1:10" s="295" customFormat="1" x14ac:dyDescent="0.25">
      <c r="A35" s="295" t="s">
        <v>2692</v>
      </c>
      <c r="D35" s="538"/>
      <c r="E35" s="538"/>
      <c r="F35" s="538"/>
    </row>
    <row r="36" spans="1:10" x14ac:dyDescent="0.25">
      <c r="A36" s="111" t="s">
        <v>2704</v>
      </c>
      <c r="B36" s="111" t="s">
        <v>2705</v>
      </c>
      <c r="C36" s="119" t="s">
        <v>2665</v>
      </c>
      <c r="D36" s="119">
        <v>26</v>
      </c>
      <c r="E36" s="119">
        <v>11</v>
      </c>
      <c r="F36" s="119">
        <v>2003</v>
      </c>
      <c r="G36" s="119" t="s">
        <v>2666</v>
      </c>
      <c r="H36" s="541">
        <v>35500</v>
      </c>
      <c r="I36" s="541"/>
      <c r="J36" s="111">
        <v>3320</v>
      </c>
    </row>
    <row r="37" spans="1:10" x14ac:dyDescent="0.25">
      <c r="A37" s="111" t="s">
        <v>2706</v>
      </c>
      <c r="B37" s="111" t="s">
        <v>2707</v>
      </c>
      <c r="C37" s="119" t="s">
        <v>2665</v>
      </c>
      <c r="D37" s="119">
        <v>28</v>
      </c>
      <c r="E37" s="119">
        <v>11</v>
      </c>
      <c r="F37" s="119">
        <v>2003</v>
      </c>
      <c r="G37" s="119" t="s">
        <v>2666</v>
      </c>
      <c r="H37" s="541">
        <v>32500</v>
      </c>
      <c r="I37" s="541" t="s">
        <v>1094</v>
      </c>
      <c r="J37" s="111">
        <v>3422</v>
      </c>
    </row>
    <row r="38" spans="1:10" x14ac:dyDescent="0.25">
      <c r="C38" s="119"/>
      <c r="D38" s="119"/>
      <c r="E38" s="119"/>
      <c r="F38" s="119"/>
      <c r="G38" s="119"/>
      <c r="H38" s="541"/>
      <c r="I38" s="541"/>
    </row>
    <row r="39" spans="1:10" s="295" customFormat="1" x14ac:dyDescent="0.25">
      <c r="A39" s="295" t="s">
        <v>2708</v>
      </c>
      <c r="D39" s="538"/>
      <c r="E39" s="538"/>
      <c r="F39" s="538"/>
    </row>
    <row r="40" spans="1:10" ht="31.5" x14ac:dyDescent="0.25">
      <c r="A40" s="111" t="s">
        <v>2709</v>
      </c>
      <c r="B40" s="111" t="s">
        <v>2710</v>
      </c>
      <c r="C40" s="119" t="s">
        <v>2675</v>
      </c>
      <c r="D40" s="119">
        <v>27</v>
      </c>
      <c r="E40" s="119">
        <v>11</v>
      </c>
      <c r="F40" s="119">
        <v>2003</v>
      </c>
      <c r="G40" s="119" t="s">
        <v>2666</v>
      </c>
      <c r="H40" s="541">
        <v>7000</v>
      </c>
      <c r="I40" s="542" t="s">
        <v>2700</v>
      </c>
      <c r="J40" s="111">
        <v>3321</v>
      </c>
    </row>
    <row r="41" spans="1:10" x14ac:dyDescent="0.25">
      <c r="A41" s="111" t="s">
        <v>2711</v>
      </c>
      <c r="B41" s="111" t="s">
        <v>2688</v>
      </c>
      <c r="C41" s="119" t="s">
        <v>2675</v>
      </c>
      <c r="D41" s="119">
        <v>27</v>
      </c>
      <c r="E41" s="119">
        <v>11</v>
      </c>
      <c r="F41" s="119">
        <v>2003</v>
      </c>
      <c r="G41" s="119" t="s">
        <v>2666</v>
      </c>
      <c r="H41" s="541">
        <v>6600</v>
      </c>
      <c r="I41" s="541" t="s">
        <v>2712</v>
      </c>
      <c r="J41" s="111">
        <v>3418</v>
      </c>
    </row>
    <row r="42" spans="1:10" x14ac:dyDescent="0.25">
      <c r="C42" s="119"/>
      <c r="D42" s="119"/>
      <c r="E42" s="119"/>
      <c r="F42" s="119"/>
      <c r="G42" s="119"/>
      <c r="H42" s="541"/>
      <c r="I42" s="541"/>
    </row>
    <row r="43" spans="1:10" s="295" customFormat="1" x14ac:dyDescent="0.25">
      <c r="A43" s="295" t="s">
        <v>2713</v>
      </c>
      <c r="D43" s="538"/>
      <c r="E43" s="538"/>
      <c r="F43" s="538"/>
    </row>
    <row r="44" spans="1:10" x14ac:dyDescent="0.25">
      <c r="A44" s="111" t="s">
        <v>2714</v>
      </c>
      <c r="B44" s="111" t="s">
        <v>2715</v>
      </c>
      <c r="C44" s="119" t="s">
        <v>2675</v>
      </c>
      <c r="D44" s="119">
        <v>26</v>
      </c>
      <c r="E44" s="119">
        <v>11</v>
      </c>
      <c r="F44" s="119">
        <v>2003</v>
      </c>
      <c r="G44" s="119" t="s">
        <v>2666</v>
      </c>
      <c r="H44" s="541">
        <v>6000</v>
      </c>
      <c r="I44" s="543" t="s">
        <v>2676</v>
      </c>
      <c r="J44" s="111">
        <v>3320</v>
      </c>
    </row>
    <row r="45" spans="1:10" x14ac:dyDescent="0.25">
      <c r="A45" s="111" t="s">
        <v>2716</v>
      </c>
      <c r="B45" s="111" t="s">
        <v>2715</v>
      </c>
      <c r="C45" s="119" t="s">
        <v>2665</v>
      </c>
      <c r="D45" s="119">
        <v>28</v>
      </c>
      <c r="E45" s="119">
        <v>11</v>
      </c>
      <c r="F45" s="119">
        <v>2003</v>
      </c>
      <c r="G45" s="119" t="s">
        <v>2666</v>
      </c>
      <c r="H45" s="541">
        <v>8500</v>
      </c>
      <c r="I45" s="541"/>
      <c r="J45" s="111">
        <v>3422</v>
      </c>
    </row>
    <row r="46" spans="1:10" x14ac:dyDescent="0.25">
      <c r="C46" s="119"/>
      <c r="D46" s="119"/>
      <c r="E46" s="119"/>
      <c r="F46" s="119"/>
      <c r="G46" s="119"/>
    </row>
    <row r="47" spans="1:10" s="295" customFormat="1" x14ac:dyDescent="0.25">
      <c r="A47" s="295" t="s">
        <v>2717</v>
      </c>
      <c r="D47" s="538"/>
      <c r="E47" s="538"/>
      <c r="F47" s="538"/>
    </row>
    <row r="48" spans="1:10" x14ac:dyDescent="0.25">
      <c r="A48" s="111" t="s">
        <v>2718</v>
      </c>
      <c r="B48" s="111" t="s">
        <v>2840</v>
      </c>
      <c r="C48" s="119" t="s">
        <v>2675</v>
      </c>
      <c r="D48" s="119">
        <v>28</v>
      </c>
      <c r="E48" s="119">
        <v>11</v>
      </c>
      <c r="F48" s="119">
        <v>2003</v>
      </c>
      <c r="G48" s="119" t="s">
        <v>2666</v>
      </c>
      <c r="H48" s="541">
        <v>12500</v>
      </c>
      <c r="I48" s="541"/>
      <c r="J48" s="111">
        <v>3422</v>
      </c>
    </row>
    <row r="49" spans="1:10" x14ac:dyDescent="0.25">
      <c r="D49" s="119"/>
      <c r="E49" s="119"/>
      <c r="F49" s="119"/>
    </row>
    <row r="50" spans="1:10" x14ac:dyDescent="0.25">
      <c r="A50" s="295" t="s">
        <v>2719</v>
      </c>
      <c r="D50" s="119"/>
      <c r="E50" s="119"/>
      <c r="F50" s="119"/>
    </row>
    <row r="51" spans="1:10" x14ac:dyDescent="0.25">
      <c r="A51" s="111" t="s">
        <v>2720</v>
      </c>
      <c r="B51" s="111" t="s">
        <v>2721</v>
      </c>
      <c r="C51" s="119" t="s">
        <v>2722</v>
      </c>
      <c r="D51" s="119">
        <v>27</v>
      </c>
      <c r="E51" s="119">
        <v>11</v>
      </c>
      <c r="F51" s="119">
        <v>2003</v>
      </c>
      <c r="G51" s="119" t="s">
        <v>2666</v>
      </c>
      <c r="H51" s="544">
        <v>18000</v>
      </c>
      <c r="I51" s="544"/>
      <c r="J51" s="111">
        <v>3321</v>
      </c>
    </row>
    <row r="52" spans="1:10" x14ac:dyDescent="0.25">
      <c r="A52" s="111" t="s">
        <v>2723</v>
      </c>
      <c r="B52" s="111" t="s">
        <v>2724</v>
      </c>
      <c r="C52" s="119" t="s">
        <v>2722</v>
      </c>
      <c r="D52" s="119">
        <v>26</v>
      </c>
      <c r="E52" s="119">
        <v>11</v>
      </c>
      <c r="F52" s="119">
        <v>2003</v>
      </c>
      <c r="G52" s="119" t="s">
        <v>2666</v>
      </c>
      <c r="H52" s="544">
        <v>85000</v>
      </c>
      <c r="I52" s="544" t="s">
        <v>1141</v>
      </c>
      <c r="J52" s="111">
        <v>3419</v>
      </c>
    </row>
    <row r="53" spans="1:10" x14ac:dyDescent="0.25">
      <c r="C53" s="119"/>
      <c r="D53" s="119"/>
      <c r="E53" s="119"/>
      <c r="F53" s="119"/>
      <c r="G53" s="119"/>
    </row>
    <row r="54" spans="1:10" s="295" customFormat="1" x14ac:dyDescent="0.25">
      <c r="A54" s="295" t="s">
        <v>2725</v>
      </c>
      <c r="C54" s="538"/>
      <c r="D54" s="538"/>
      <c r="E54" s="538"/>
      <c r="F54" s="538"/>
      <c r="G54" s="538"/>
    </row>
    <row r="55" spans="1:10" x14ac:dyDescent="0.25">
      <c r="A55" s="111" t="s">
        <v>2726</v>
      </c>
      <c r="B55" s="111" t="s">
        <v>2727</v>
      </c>
      <c r="C55" s="119" t="s">
        <v>2728</v>
      </c>
      <c r="D55" s="119">
        <v>27</v>
      </c>
      <c r="E55" s="119">
        <v>11</v>
      </c>
      <c r="F55" s="119">
        <v>2003</v>
      </c>
      <c r="G55" s="119" t="s">
        <v>2666</v>
      </c>
      <c r="H55" s="544">
        <v>7000</v>
      </c>
      <c r="I55" s="545" t="s">
        <v>2729</v>
      </c>
      <c r="J55" s="111">
        <v>3418</v>
      </c>
    </row>
    <row r="56" spans="1:10" x14ac:dyDescent="0.25">
      <c r="A56" s="111" t="s">
        <v>2730</v>
      </c>
      <c r="B56" s="111" t="s">
        <v>2678</v>
      </c>
      <c r="C56" s="119" t="s">
        <v>2691</v>
      </c>
      <c r="D56" s="119">
        <v>27</v>
      </c>
      <c r="E56" s="119">
        <v>11</v>
      </c>
      <c r="F56" s="119">
        <v>2003</v>
      </c>
      <c r="G56" s="119" t="s">
        <v>2666</v>
      </c>
      <c r="H56" s="544">
        <v>5000</v>
      </c>
      <c r="I56" s="546" t="s">
        <v>2676</v>
      </c>
      <c r="J56" s="111">
        <v>3418</v>
      </c>
    </row>
    <row r="57" spans="1:10" x14ac:dyDescent="0.25">
      <c r="C57" s="119"/>
      <c r="D57" s="119"/>
      <c r="E57" s="119"/>
      <c r="F57" s="119"/>
      <c r="G57" s="119"/>
      <c r="H57" s="544"/>
      <c r="I57" s="546"/>
    </row>
    <row r="58" spans="1:10" s="547" customFormat="1" x14ac:dyDescent="0.25">
      <c r="A58" s="547" t="s">
        <v>2731</v>
      </c>
      <c r="C58" s="548"/>
      <c r="D58" s="548"/>
      <c r="E58" s="548"/>
      <c r="F58" s="548"/>
      <c r="G58" s="548"/>
      <c r="H58" s="549">
        <v>37296</v>
      </c>
      <c r="I58" s="550"/>
    </row>
    <row r="59" spans="1:10" x14ac:dyDescent="0.25">
      <c r="D59" s="119"/>
      <c r="E59" s="119"/>
      <c r="F59" s="119"/>
    </row>
    <row r="60" spans="1:10" ht="16.5" thickBot="1" x14ac:dyDescent="0.3">
      <c r="H60" s="551">
        <f>SUM(H8:H59)</f>
        <v>505421</v>
      </c>
      <c r="I60" s="552"/>
    </row>
    <row r="61" spans="1:10" ht="16.5" thickTop="1" x14ac:dyDescent="0.25"/>
    <row r="62" spans="1:10" x14ac:dyDescent="0.25">
      <c r="A62" s="553" t="s">
        <v>2732</v>
      </c>
    </row>
    <row r="63" spans="1:10" x14ac:dyDescent="0.25">
      <c r="A63" s="111" t="s">
        <v>2733</v>
      </c>
    </row>
  </sheetData>
  <sheetProtection sort="0" autoFilter="0"/>
  <mergeCells count="4">
    <mergeCell ref="A1:J2"/>
    <mergeCell ref="A3:J3"/>
    <mergeCell ref="A4:J4"/>
    <mergeCell ref="D6:F6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90" orientation="landscape" r:id="rId1"/>
  <headerFooter alignWithMargins="0">
    <oddFooter>Página &amp;P&amp;R&amp;A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opLeftCell="A4" zoomScaleNormal="100" workbookViewId="0">
      <selection activeCell="B14" sqref="B14"/>
    </sheetView>
  </sheetViews>
  <sheetFormatPr baseColWidth="10" defaultRowHeight="12.75" x14ac:dyDescent="0.2"/>
  <cols>
    <col min="1" max="1" width="38.42578125" style="529" bestFit="1" customWidth="1"/>
    <col min="2" max="2" width="17.7109375" style="530" bestFit="1" customWidth="1"/>
    <col min="3" max="3" width="13.7109375" style="530" bestFit="1" customWidth="1"/>
    <col min="4" max="4" width="13.7109375" style="530" customWidth="1"/>
    <col min="5" max="5" width="16.5703125" style="530" bestFit="1" customWidth="1"/>
    <col min="6" max="6" width="16.5703125" style="530" customWidth="1"/>
    <col min="7" max="7" width="16.28515625" style="530" bestFit="1" customWidth="1"/>
    <col min="8" max="8" width="11.42578125" style="529"/>
    <col min="9" max="9" width="14.28515625" style="529" bestFit="1" customWidth="1"/>
    <col min="10" max="10" width="11.42578125" style="529"/>
    <col min="11" max="11" width="12.85546875" style="529" bestFit="1" customWidth="1"/>
    <col min="12" max="16384" width="11.42578125" style="529"/>
  </cols>
  <sheetData>
    <row r="1" spans="1:11" ht="20.25" x14ac:dyDescent="0.3">
      <c r="A1" s="655" t="s">
        <v>0</v>
      </c>
      <c r="B1" s="655"/>
      <c r="C1" s="655"/>
      <c r="D1" s="655"/>
      <c r="E1" s="655"/>
      <c r="F1" s="655"/>
      <c r="G1" s="655"/>
    </row>
    <row r="2" spans="1:11" ht="20.25" x14ac:dyDescent="0.3">
      <c r="A2" s="656" t="s">
        <v>2859</v>
      </c>
      <c r="B2" s="656"/>
      <c r="C2" s="656"/>
      <c r="D2" s="656"/>
      <c r="E2" s="656"/>
      <c r="F2" s="656"/>
      <c r="G2" s="656"/>
    </row>
    <row r="3" spans="1:11" x14ac:dyDescent="0.2">
      <c r="A3" s="674" t="str">
        <f>'Equipos de Producción'!A3:S3</f>
        <v>(Al 31 de Enero del 2016)</v>
      </c>
      <c r="B3" s="674"/>
      <c r="C3" s="674"/>
      <c r="D3" s="674"/>
      <c r="E3" s="674"/>
      <c r="F3" s="674"/>
      <c r="G3" s="674"/>
    </row>
    <row r="4" spans="1:11" x14ac:dyDescent="0.2">
      <c r="A4" s="374"/>
      <c r="B4" s="523"/>
      <c r="C4" s="523"/>
      <c r="D4" s="523"/>
      <c r="E4" s="523"/>
      <c r="F4" s="523"/>
      <c r="G4" s="523"/>
    </row>
    <row r="5" spans="1:11" ht="15.75" x14ac:dyDescent="0.25">
      <c r="A5" s="378"/>
      <c r="B5" s="535"/>
      <c r="C5" s="660" t="s">
        <v>3</v>
      </c>
      <c r="D5" s="661"/>
      <c r="E5" s="661"/>
      <c r="F5" s="662"/>
      <c r="G5" s="380"/>
    </row>
    <row r="6" spans="1:11" ht="47.25" x14ac:dyDescent="0.2">
      <c r="A6" s="381" t="s">
        <v>7</v>
      </c>
      <c r="B6" s="483" t="s">
        <v>2654</v>
      </c>
      <c r="C6" s="9" t="s">
        <v>22</v>
      </c>
      <c r="D6" s="10" t="str">
        <f>+'Equipos de Producción'!$R$6</f>
        <v>Acumulada Diciembre 2015</v>
      </c>
      <c r="E6" s="10" t="str">
        <f>+'Equipos de Producción'!$S$6</f>
        <v>Acumulada Enero 2016</v>
      </c>
      <c r="F6" s="10" t="str">
        <f>+'Equipos de Producción'!$T$6</f>
        <v>Deprec. a Registrar Enero 2016</v>
      </c>
      <c r="G6" s="483" t="s">
        <v>2653</v>
      </c>
    </row>
    <row r="7" spans="1:11" x14ac:dyDescent="0.2">
      <c r="A7" s="529" t="s">
        <v>2652</v>
      </c>
      <c r="B7" s="530">
        <f>+'Equipos de Producción'!N48</f>
        <v>4011408.45</v>
      </c>
      <c r="C7" s="530">
        <f>+'Equipos de Producción'!Q48</f>
        <v>28728.175416666665</v>
      </c>
      <c r="D7" s="530">
        <f>+'Equipos de Producción'!R48</f>
        <v>2544930.0182499997</v>
      </c>
      <c r="E7" s="530">
        <f>+'Equipos de Producción'!S48</f>
        <v>2573658.1936666663</v>
      </c>
      <c r="F7" s="530">
        <f>+'Equipos de Producción'!T48</f>
        <v>28728.175416666665</v>
      </c>
      <c r="G7" s="530">
        <f>+'Equipos de Producción'!U48</f>
        <v>1437750.2563333337</v>
      </c>
      <c r="I7" s="530"/>
      <c r="K7" s="530"/>
    </row>
    <row r="8" spans="1:11" x14ac:dyDescent="0.2">
      <c r="A8" s="529" t="s">
        <v>2655</v>
      </c>
      <c r="B8" s="530">
        <f>+'Equipos Educativos'!N9</f>
        <v>77880</v>
      </c>
      <c r="C8" s="530">
        <f>+'Equipos Educativos'!Q9</f>
        <v>648.99166666666667</v>
      </c>
      <c r="D8" s="530">
        <f>+'Equipos Educativos'!R9</f>
        <v>13628.825000000001</v>
      </c>
      <c r="E8" s="530">
        <f>+'Equipos Educativos'!S9</f>
        <v>14277.816666666668</v>
      </c>
      <c r="F8" s="530">
        <f>+'Equipos Educativos'!T9</f>
        <v>648.99166666666679</v>
      </c>
      <c r="G8" s="530">
        <f>+'Equipos Educativos'!U9</f>
        <v>63602.183333333334</v>
      </c>
      <c r="I8" s="530"/>
      <c r="K8" s="530"/>
    </row>
    <row r="9" spans="1:11" x14ac:dyDescent="0.2">
      <c r="A9" s="529" t="s">
        <v>2651</v>
      </c>
      <c r="B9" s="530">
        <f>+'Equipos de Transporte'!N22</f>
        <v>10920054.640000001</v>
      </c>
      <c r="C9" s="530">
        <f>+'Equipos de Transporte'!R22</f>
        <v>43041.566666666666</v>
      </c>
      <c r="D9" s="530">
        <f>+'Equipos de Transporte'!S22</f>
        <v>9066738.4433333334</v>
      </c>
      <c r="E9" s="530">
        <f>+'Equipos de Transporte'!T22</f>
        <v>9241424.5399999991</v>
      </c>
      <c r="F9" s="530">
        <f>+'Equipos de Transporte'!U22</f>
        <v>43041.566666666768</v>
      </c>
      <c r="G9" s="530">
        <f>+'Equipos de Transporte'!V22</f>
        <v>1678630.1</v>
      </c>
      <c r="I9" s="530"/>
      <c r="K9" s="530"/>
    </row>
    <row r="10" spans="1:11" x14ac:dyDescent="0.2">
      <c r="A10" s="529" t="s">
        <v>2650</v>
      </c>
      <c r="B10" s="530">
        <f>+'Eq. Computos '!P448</f>
        <v>19854836.517990001</v>
      </c>
      <c r="C10" s="530">
        <f>+'Eq. Computos '!T448</f>
        <v>193972.26153888891</v>
      </c>
      <c r="D10" s="530">
        <f>+'Eq. Computos '!U448</f>
        <v>17982909.066406667</v>
      </c>
      <c r="E10" s="530">
        <f>+'Eq. Computos '!V448</f>
        <v>18176881.327945553</v>
      </c>
      <c r="F10" s="530">
        <f>+'Eq. Computos '!W448</f>
        <v>193972.261538889</v>
      </c>
      <c r="G10" s="530">
        <f>+'Eq. Computos '!X448</f>
        <v>2687024.2089333334</v>
      </c>
      <c r="I10" s="530"/>
      <c r="K10" s="530"/>
    </row>
    <row r="11" spans="1:11" x14ac:dyDescent="0.2">
      <c r="A11" s="529" t="s">
        <v>2649</v>
      </c>
      <c r="B11" s="530">
        <f>+'Equipos Médicos'!N93</f>
        <v>904325.46000000008</v>
      </c>
      <c r="C11" s="530">
        <f>+'Equipos Médicos'!P93</f>
        <v>2871.8263333333343</v>
      </c>
      <c r="D11" s="530">
        <f>+'Equipos Médicos'!Q93</f>
        <v>859162.65466666676</v>
      </c>
      <c r="E11" s="530">
        <f>+'Equipos Médicos'!R93</f>
        <v>862034.48100000015</v>
      </c>
      <c r="F11" s="530">
        <f>+'Equipos Médicos'!S93</f>
        <v>2871.8263333333362</v>
      </c>
      <c r="G11" s="530">
        <f>+'Equipos Médicos'!T93</f>
        <v>42290.978999999948</v>
      </c>
      <c r="I11" s="530"/>
      <c r="K11" s="530"/>
    </row>
    <row r="12" spans="1:11" x14ac:dyDescent="0.2">
      <c r="A12" s="529" t="s">
        <v>2648</v>
      </c>
      <c r="B12" s="530">
        <f>+'Equipos de Comunicaciones'!M91</f>
        <v>4582210.8392499993</v>
      </c>
      <c r="C12" s="530">
        <f>+'Equipos de Comunicaciones'!O91</f>
        <v>76601.428003055553</v>
      </c>
      <c r="D12" s="530">
        <f>+'Equipos de Comunicaciones'!P91</f>
        <v>2758339.2837208332</v>
      </c>
      <c r="E12" s="530">
        <f>+'Equipos de Comunicaciones'!Q91</f>
        <v>2834940.7117238883</v>
      </c>
      <c r="F12" s="530">
        <f>+'Equipos de Comunicaciones'!R91</f>
        <v>76601.428003055553</v>
      </c>
      <c r="G12" s="530">
        <f>+'Equipos de Comunicaciones'!S91</f>
        <v>1747271.127526111</v>
      </c>
      <c r="I12" s="530"/>
      <c r="K12" s="530"/>
    </row>
    <row r="13" spans="1:11" x14ac:dyDescent="0.2">
      <c r="A13" s="529" t="s">
        <v>2647</v>
      </c>
      <c r="B13" s="530">
        <f>+'Eq. y Muebles de Ofic.'!N1008</f>
        <v>10039256.258318713</v>
      </c>
      <c r="C13" s="530">
        <f>+'Eq. y Muebles de Ofic.'!R1008</f>
        <v>76630.668974878179</v>
      </c>
      <c r="D13" s="530">
        <f>+'Eq. y Muebles de Ofic.'!S1008</f>
        <v>6345213.8607548987</v>
      </c>
      <c r="E13" s="530">
        <f>+'Eq. y Muebles de Ofic.'!T1008</f>
        <v>6421859.8613964431</v>
      </c>
      <c r="F13" s="530">
        <f>+'Eq. y Muebles de Ofic.'!U1008</f>
        <v>76646.000641544888</v>
      </c>
      <c r="G13" s="530">
        <f>+'Eq. y Muebles de Ofic.'!V1008</f>
        <v>3617396.3969222712</v>
      </c>
      <c r="I13" s="530"/>
      <c r="K13" s="530"/>
    </row>
    <row r="14" spans="1:11" x14ac:dyDescent="0.2">
      <c r="A14" s="529" t="s">
        <v>2938</v>
      </c>
      <c r="B14" s="530">
        <f>+Electrodomésticos!N14</f>
        <v>39294.990000000005</v>
      </c>
      <c r="C14" s="530">
        <f>+Electrodomésticos!Q14</f>
        <v>0</v>
      </c>
      <c r="D14" s="530">
        <f>+Electrodomésticos!R14</f>
        <v>0</v>
      </c>
      <c r="E14" s="530">
        <f>+Electrodomésticos!S14</f>
        <v>0</v>
      </c>
      <c r="F14" s="530">
        <f>+Electrodomésticos!T14</f>
        <v>0</v>
      </c>
      <c r="G14" s="530">
        <f>+Electrodomésticos!U14</f>
        <v>39294.990000000005</v>
      </c>
      <c r="I14" s="530"/>
      <c r="K14" s="530"/>
    </row>
    <row r="15" spans="1:11" x14ac:dyDescent="0.2">
      <c r="A15" s="529" t="s">
        <v>2646</v>
      </c>
      <c r="B15" s="530">
        <f>+'Equipos Varios'!N13</f>
        <v>102047.94</v>
      </c>
      <c r="C15" s="530">
        <f>+'Equipos Varios'!Q13</f>
        <v>1225.7323333333334</v>
      </c>
      <c r="D15" s="530">
        <f>+'Equipos Varios'!R13</f>
        <v>40806.329333333335</v>
      </c>
      <c r="E15" s="530">
        <f>+'Equipos Varios'!S13</f>
        <v>42032.061666666661</v>
      </c>
      <c r="F15" s="530">
        <f>+'Equipos Varios'!T13</f>
        <v>1225.7323333333338</v>
      </c>
      <c r="G15" s="530">
        <f>+'Equipos Varios'!U13</f>
        <v>60015.878333333334</v>
      </c>
      <c r="I15" s="530"/>
      <c r="K15" s="530"/>
    </row>
    <row r="16" spans="1:11" x14ac:dyDescent="0.2">
      <c r="B16" s="534">
        <f t="shared" ref="B16:G16" si="0">SUM(B7:B15)</f>
        <v>50531315.09555871</v>
      </c>
      <c r="C16" s="534">
        <f t="shared" si="0"/>
        <v>423720.65093348932</v>
      </c>
      <c r="D16" s="534">
        <f t="shared" si="0"/>
        <v>39611728.481465735</v>
      </c>
      <c r="E16" s="534">
        <f t="shared" si="0"/>
        <v>40167108.994065881</v>
      </c>
      <c r="F16" s="534">
        <f t="shared" si="0"/>
        <v>423735.98260015622</v>
      </c>
      <c r="G16" s="534">
        <f t="shared" si="0"/>
        <v>11373276.120381717</v>
      </c>
      <c r="I16" s="530"/>
      <c r="K16" s="530"/>
    </row>
    <row r="17" spans="1:11" x14ac:dyDescent="0.2">
      <c r="I17" s="530"/>
      <c r="K17" s="530"/>
    </row>
    <row r="18" spans="1:11" x14ac:dyDescent="0.2">
      <c r="A18" s="529" t="s">
        <v>2645</v>
      </c>
      <c r="B18" s="533">
        <v>21160000</v>
      </c>
      <c r="C18" s="533">
        <v>0</v>
      </c>
      <c r="D18" s="533">
        <v>0</v>
      </c>
      <c r="E18" s="533">
        <v>0</v>
      </c>
      <c r="F18" s="533">
        <v>0</v>
      </c>
      <c r="G18" s="533">
        <f>+B18</f>
        <v>21160000</v>
      </c>
      <c r="I18" s="530"/>
      <c r="K18" s="530"/>
    </row>
    <row r="19" spans="1:11" x14ac:dyDescent="0.2">
      <c r="I19" s="530"/>
      <c r="K19" s="530"/>
    </row>
    <row r="20" spans="1:11" x14ac:dyDescent="0.2">
      <c r="A20" s="529" t="s">
        <v>2644</v>
      </c>
      <c r="B20" s="533">
        <f>Edificaciones!L7</f>
        <v>44913657.340000004</v>
      </c>
      <c r="C20" s="533">
        <f>Edificaciones!N7</f>
        <v>74856.093900000007</v>
      </c>
      <c r="D20" s="533">
        <f>+Edificaciones!O7</f>
        <v>10779277.521600001</v>
      </c>
      <c r="E20" s="533">
        <f>Edificaciones!P7</f>
        <v>10854133.615500001</v>
      </c>
      <c r="F20" s="533">
        <f>+Edificaciones!Q7</f>
        <v>74856.093900000677</v>
      </c>
      <c r="G20" s="533">
        <f>Edificaciones!R7</f>
        <v>34059523.7245</v>
      </c>
      <c r="I20" s="530"/>
      <c r="K20" s="530"/>
    </row>
    <row r="21" spans="1:11" x14ac:dyDescent="0.2">
      <c r="I21" s="530"/>
      <c r="K21" s="530"/>
    </row>
    <row r="22" spans="1:11" x14ac:dyDescent="0.2">
      <c r="I22" s="530"/>
      <c r="K22" s="530"/>
    </row>
    <row r="23" spans="1:11" x14ac:dyDescent="0.2">
      <c r="A23" s="529" t="s">
        <v>2643</v>
      </c>
      <c r="B23" s="533">
        <f>'Obras de Arte'!H60</f>
        <v>505421</v>
      </c>
      <c r="C23" s="533">
        <v>0</v>
      </c>
      <c r="D23" s="533">
        <v>0</v>
      </c>
      <c r="E23" s="533">
        <v>0</v>
      </c>
      <c r="F23" s="533">
        <v>0</v>
      </c>
      <c r="G23" s="533">
        <v>0</v>
      </c>
      <c r="I23" s="530"/>
      <c r="K23" s="530"/>
    </row>
    <row r="24" spans="1:11" x14ac:dyDescent="0.2">
      <c r="I24" s="530"/>
      <c r="K24" s="530"/>
    </row>
    <row r="25" spans="1:11" x14ac:dyDescent="0.2">
      <c r="I25" s="530"/>
      <c r="K25" s="530"/>
    </row>
    <row r="26" spans="1:11" x14ac:dyDescent="0.2">
      <c r="A26" s="529" t="s">
        <v>2642</v>
      </c>
      <c r="B26" s="533">
        <v>42963679.520000003</v>
      </c>
      <c r="C26" s="533">
        <v>0</v>
      </c>
      <c r="D26" s="533"/>
      <c r="E26" s="533">
        <v>1495683.68</v>
      </c>
      <c r="F26" s="533"/>
      <c r="G26" s="533">
        <f>B26-E26</f>
        <v>41467995.840000004</v>
      </c>
      <c r="I26" s="530"/>
      <c r="K26" s="530"/>
    </row>
    <row r="27" spans="1:11" x14ac:dyDescent="0.2">
      <c r="I27" s="530"/>
      <c r="K27" s="530"/>
    </row>
    <row r="28" spans="1:11" x14ac:dyDescent="0.2">
      <c r="A28" s="529" t="s">
        <v>2641</v>
      </c>
      <c r="B28" s="533">
        <v>4514853.45</v>
      </c>
      <c r="C28" s="533">
        <f>B28/12</f>
        <v>376237.78750000003</v>
      </c>
      <c r="D28" s="533"/>
      <c r="E28" s="533">
        <f>C28</f>
        <v>376237.78750000003</v>
      </c>
      <c r="F28" s="533"/>
      <c r="G28" s="533">
        <f>B28-E28</f>
        <v>4138615.6625000001</v>
      </c>
      <c r="I28" s="530"/>
      <c r="K28" s="530"/>
    </row>
    <row r="29" spans="1:11" x14ac:dyDescent="0.2">
      <c r="I29" s="530"/>
      <c r="K29" s="530"/>
    </row>
    <row r="30" spans="1:11" s="531" customFormat="1" ht="13.5" thickBot="1" x14ac:dyDescent="0.25">
      <c r="B30" s="532">
        <f t="shared" ref="B30:G30" si="1">+B16+B18+B20+B23+B26+B28</f>
        <v>164588926.40555871</v>
      </c>
      <c r="C30" s="532">
        <f t="shared" si="1"/>
        <v>874814.53233348927</v>
      </c>
      <c r="D30" s="532">
        <f t="shared" si="1"/>
        <v>50391006.003065735</v>
      </c>
      <c r="E30" s="532">
        <f t="shared" si="1"/>
        <v>52893164.077065885</v>
      </c>
      <c r="F30" s="532">
        <f t="shared" si="1"/>
        <v>498592.07650015689</v>
      </c>
      <c r="G30" s="532">
        <f t="shared" si="1"/>
        <v>112199411.34738171</v>
      </c>
      <c r="I30" s="530"/>
      <c r="K30" s="530"/>
    </row>
    <row r="31" spans="1:11" ht="13.5" thickTop="1" x14ac:dyDescent="0.2"/>
  </sheetData>
  <mergeCells count="4">
    <mergeCell ref="A1:G1"/>
    <mergeCell ref="A2:G2"/>
    <mergeCell ref="A3:G3"/>
    <mergeCell ref="C5:F5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13"/>
  <sheetViews>
    <sheetView topLeftCell="K1" zoomScaleNormal="100" workbookViewId="0">
      <selection activeCell="S14" sqref="S14"/>
    </sheetView>
  </sheetViews>
  <sheetFormatPr baseColWidth="10" defaultRowHeight="15.75" x14ac:dyDescent="0.25"/>
  <cols>
    <col min="1" max="1" width="11.42578125" style="377"/>
    <col min="2" max="2" width="54.42578125" style="377" customWidth="1"/>
    <col min="3" max="3" width="17" style="377" customWidth="1"/>
    <col min="4" max="4" width="19.140625" style="377" customWidth="1"/>
    <col min="5" max="5" width="32.42578125" style="377" customWidth="1"/>
    <col min="6" max="6" width="33.7109375" style="377" customWidth="1"/>
    <col min="7" max="7" width="21.42578125" style="377" bestFit="1" customWidth="1"/>
    <col min="8" max="8" width="6" style="377" hidden="1" customWidth="1"/>
    <col min="9" max="9" width="5.140625" style="377" hidden="1" customWidth="1"/>
    <col min="10" max="10" width="7" style="377" hidden="1" customWidth="1"/>
    <col min="11" max="11" width="12.140625" style="377" customWidth="1"/>
    <col min="12" max="12" width="22.7109375" style="377" customWidth="1"/>
    <col min="13" max="13" width="11.42578125" style="377"/>
    <col min="14" max="14" width="17.140625" style="377" customWidth="1"/>
    <col min="15" max="15" width="0" style="377" hidden="1" customWidth="1"/>
    <col min="16" max="23" width="11.42578125" style="377"/>
    <col min="24" max="24" width="7" style="377" customWidth="1"/>
    <col min="25" max="16384" width="11.42578125" style="377"/>
  </cols>
  <sheetData>
    <row r="2" spans="1:26" x14ac:dyDescent="0.25">
      <c r="A2" s="663" t="s">
        <v>0</v>
      </c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63"/>
      <c r="S2" s="663"/>
      <c r="T2" s="663"/>
      <c r="U2" s="663"/>
      <c r="V2" s="663"/>
      <c r="Z2" s="45"/>
    </row>
    <row r="3" spans="1:26" x14ac:dyDescent="0.25">
      <c r="A3" s="664" t="s">
        <v>2555</v>
      </c>
      <c r="B3" s="664"/>
      <c r="C3" s="664"/>
      <c r="D3" s="664"/>
      <c r="E3" s="664"/>
      <c r="F3" s="664"/>
      <c r="G3" s="664"/>
      <c r="H3" s="664"/>
      <c r="I3" s="664"/>
      <c r="J3" s="664"/>
      <c r="K3" s="664"/>
      <c r="L3" s="664"/>
      <c r="M3" s="664"/>
      <c r="N3" s="664"/>
      <c r="O3" s="664"/>
      <c r="P3" s="664"/>
      <c r="Q3" s="664"/>
      <c r="R3" s="664"/>
      <c r="S3" s="664"/>
      <c r="T3" s="664"/>
      <c r="U3" s="664"/>
      <c r="V3" s="664"/>
      <c r="Z3" s="45"/>
    </row>
    <row r="4" spans="1:26" x14ac:dyDescent="0.25">
      <c r="A4" s="664" t="str">
        <f>'Equipos de Producción'!A3:S3</f>
        <v>(Al 31 de Enero del 2016)</v>
      </c>
      <c r="B4" s="664"/>
      <c r="C4" s="664"/>
      <c r="D4" s="664"/>
      <c r="E4" s="664"/>
      <c r="F4" s="664"/>
      <c r="G4" s="664"/>
      <c r="H4" s="664"/>
      <c r="I4" s="664"/>
      <c r="J4" s="664"/>
      <c r="K4" s="664"/>
      <c r="L4" s="664"/>
      <c r="M4" s="664"/>
      <c r="N4" s="664"/>
      <c r="O4" s="664"/>
      <c r="P4" s="664"/>
      <c r="Q4" s="664"/>
      <c r="R4" s="664"/>
      <c r="S4" s="664"/>
      <c r="T4" s="664"/>
      <c r="U4" s="664"/>
      <c r="V4" s="664"/>
      <c r="Z4" s="45"/>
    </row>
    <row r="5" spans="1:26" x14ac:dyDescent="0.25">
      <c r="A5" s="474"/>
      <c r="B5" s="474"/>
      <c r="C5" s="474"/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  <c r="Q5" s="474"/>
      <c r="R5" s="474"/>
      <c r="S5" s="474"/>
      <c r="T5" s="474"/>
      <c r="U5" s="475"/>
      <c r="V5" s="476"/>
      <c r="Z5" s="121">
        <f>+'Equipos de Producción'!W4</f>
        <v>42400</v>
      </c>
    </row>
    <row r="6" spans="1:26" x14ac:dyDescent="0.25">
      <c r="A6" s="477"/>
      <c r="B6" s="477"/>
      <c r="C6" s="477"/>
      <c r="D6" s="477"/>
      <c r="E6" s="477"/>
      <c r="F6" s="477"/>
      <c r="G6" s="477"/>
      <c r="H6" s="657" t="s">
        <v>818</v>
      </c>
      <c r="I6" s="658"/>
      <c r="J6" s="659"/>
      <c r="K6" s="477"/>
      <c r="L6" s="477"/>
      <c r="M6" s="477"/>
      <c r="N6" s="478"/>
      <c r="O6" s="476"/>
      <c r="P6" s="476"/>
      <c r="Q6" s="660" t="s">
        <v>3</v>
      </c>
      <c r="R6" s="661"/>
      <c r="S6" s="661"/>
      <c r="T6" s="662"/>
      <c r="U6" s="380"/>
      <c r="V6" s="476"/>
      <c r="W6" s="476"/>
      <c r="X6" s="476"/>
      <c r="Y6" s="476"/>
      <c r="Z6" s="45"/>
    </row>
    <row r="7" spans="1:26" ht="46.5" customHeight="1" x14ac:dyDescent="0.25">
      <c r="A7" s="479" t="s">
        <v>4</v>
      </c>
      <c r="B7" s="479" t="s">
        <v>7</v>
      </c>
      <c r="C7" s="479" t="s">
        <v>8</v>
      </c>
      <c r="D7" s="479" t="s">
        <v>9</v>
      </c>
      <c r="E7" s="479" t="s">
        <v>10</v>
      </c>
      <c r="F7" s="479" t="s">
        <v>11</v>
      </c>
      <c r="G7" s="479" t="s">
        <v>12</v>
      </c>
      <c r="H7" s="480" t="s">
        <v>13</v>
      </c>
      <c r="I7" s="480" t="s">
        <v>14</v>
      </c>
      <c r="J7" s="481" t="s">
        <v>15</v>
      </c>
      <c r="K7" s="479" t="s">
        <v>16</v>
      </c>
      <c r="L7" s="479" t="s">
        <v>17</v>
      </c>
      <c r="M7" s="479" t="s">
        <v>18</v>
      </c>
      <c r="N7" s="482" t="s">
        <v>19</v>
      </c>
      <c r="O7" s="479" t="s">
        <v>20</v>
      </c>
      <c r="P7" s="479" t="s">
        <v>21</v>
      </c>
      <c r="Q7" s="385" t="s">
        <v>22</v>
      </c>
      <c r="R7" s="10" t="str">
        <f>+'Equipos de Producción'!$R$6</f>
        <v>Acumulada Diciembre 2015</v>
      </c>
      <c r="S7" s="10" t="str">
        <f>+'Equipos de Producción'!$S$6</f>
        <v>Acumulada Enero 2016</v>
      </c>
      <c r="T7" s="10" t="str">
        <f>+'Equipos de Producción'!$T$6</f>
        <v>Deprec. a Registrar Enero 2016</v>
      </c>
      <c r="U7" s="10" t="s">
        <v>23</v>
      </c>
      <c r="V7" s="479" t="s">
        <v>24</v>
      </c>
      <c r="W7" s="484"/>
      <c r="X7" s="484"/>
      <c r="Y7" s="484"/>
      <c r="Z7" s="387" t="s">
        <v>25</v>
      </c>
    </row>
    <row r="8" spans="1:26" ht="28.5" customHeight="1" thickBot="1" x14ac:dyDescent="0.3">
      <c r="A8" s="40" t="s">
        <v>2556</v>
      </c>
      <c r="B8" s="40" t="s">
        <v>2557</v>
      </c>
      <c r="C8" s="40" t="s">
        <v>2558</v>
      </c>
      <c r="D8" s="40" t="s">
        <v>2559</v>
      </c>
      <c r="E8" s="40"/>
      <c r="F8" s="40" t="s">
        <v>2560</v>
      </c>
      <c r="G8" s="132">
        <v>41703</v>
      </c>
      <c r="H8" s="476">
        <v>24</v>
      </c>
      <c r="I8" s="476">
        <v>6</v>
      </c>
      <c r="J8" s="476">
        <v>2009</v>
      </c>
      <c r="K8" s="476" t="s">
        <v>538</v>
      </c>
      <c r="L8" s="476" t="s">
        <v>2561</v>
      </c>
      <c r="M8" s="476" t="s">
        <v>2000</v>
      </c>
      <c r="N8" s="487">
        <v>77880</v>
      </c>
      <c r="P8" s="377">
        <v>10</v>
      </c>
      <c r="Q8" s="30">
        <f>(((N8)-1)/10)/12</f>
        <v>648.99166666666667</v>
      </c>
      <c r="R8" s="5">
        <v>13628.825000000001</v>
      </c>
      <c r="S8" s="313">
        <f>Z8*Q8</f>
        <v>14277.816666666668</v>
      </c>
      <c r="T8" s="15">
        <f>S8-R8</f>
        <v>648.99166666666679</v>
      </c>
      <c r="U8" s="135">
        <f>N8-S8</f>
        <v>63602.183333333334</v>
      </c>
      <c r="V8" s="377" t="s">
        <v>2562</v>
      </c>
      <c r="X8" s="488">
        <f>((2011-J8)*12)+(12-I8)+1</f>
        <v>31</v>
      </c>
      <c r="Y8" s="78"/>
      <c r="Z8" s="44">
        <f>IF((DATEDIF(G8,Z$5,"m"))&gt;=60,60,(DATEDIF(G8,Z$5,"m")))</f>
        <v>22</v>
      </c>
    </row>
    <row r="9" spans="1:26" ht="16.5" thickBot="1" x14ac:dyDescent="0.3">
      <c r="B9" s="489" t="s">
        <v>2563</v>
      </c>
      <c r="C9" s="476"/>
      <c r="D9" s="476"/>
      <c r="E9" s="476"/>
      <c r="F9" s="476"/>
      <c r="G9" s="476"/>
      <c r="H9" s="476"/>
      <c r="I9" s="476"/>
      <c r="J9" s="476"/>
      <c r="K9" s="476"/>
      <c r="L9" s="477"/>
      <c r="M9" s="476"/>
      <c r="N9" s="490">
        <f>SUM(N8)</f>
        <v>77880</v>
      </c>
      <c r="O9" s="491"/>
      <c r="P9" s="491"/>
      <c r="Q9" s="490">
        <f>SUM(Q8)</f>
        <v>648.99166666666667</v>
      </c>
      <c r="R9" s="490">
        <f>SUM(R8)</f>
        <v>13628.825000000001</v>
      </c>
      <c r="S9" s="490">
        <f>SUM(S8)</f>
        <v>14277.816666666668</v>
      </c>
      <c r="T9" s="490">
        <f>SUM(T8)</f>
        <v>648.99166666666679</v>
      </c>
      <c r="U9" s="490">
        <f>SUM(U8)</f>
        <v>63602.183333333334</v>
      </c>
      <c r="V9" s="491"/>
    </row>
    <row r="10" spans="1:26" ht="16.5" thickTop="1" x14ac:dyDescent="0.25"/>
    <row r="11" spans="1:26" s="476" customFormat="1" x14ac:dyDescent="0.25"/>
    <row r="12" spans="1:26" s="476" customFormat="1" x14ac:dyDescent="0.25">
      <c r="Q12" s="478"/>
    </row>
    <row r="13" spans="1:26" x14ac:dyDescent="0.25">
      <c r="Q13" s="380"/>
      <c r="R13" s="380"/>
    </row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X23"/>
  <sheetViews>
    <sheetView zoomScaleNormal="100" workbookViewId="0">
      <pane xSplit="2" ySplit="6" topLeftCell="C13" activePane="bottomRight" state="frozen"/>
      <selection sqref="A1:S2"/>
      <selection pane="topRight" sqref="A1:S2"/>
      <selection pane="bottomLeft" sqref="A1:S2"/>
      <selection pane="bottomRight" activeCell="T15" sqref="T15"/>
    </sheetView>
  </sheetViews>
  <sheetFormatPr baseColWidth="10" defaultRowHeight="15.75" x14ac:dyDescent="0.25"/>
  <cols>
    <col min="1" max="1" width="8.7109375" style="78" customWidth="1"/>
    <col min="2" max="2" width="41.7109375" style="75" customWidth="1"/>
    <col min="3" max="3" width="16.42578125" style="78" customWidth="1"/>
    <col min="4" max="4" width="22.5703125" style="78" customWidth="1"/>
    <col min="5" max="5" width="24.28515625" style="78" customWidth="1"/>
    <col min="6" max="6" width="25.7109375" style="78" customWidth="1"/>
    <col min="7" max="7" width="12.42578125" style="78" customWidth="1"/>
    <col min="8" max="9" width="6.28515625" style="429" hidden="1" customWidth="1"/>
    <col min="10" max="10" width="6.28515625" style="430" hidden="1" customWidth="1"/>
    <col min="11" max="11" width="12.140625" style="78" customWidth="1"/>
    <col min="12" max="12" width="16.7109375" style="78" customWidth="1"/>
    <col min="13" max="13" width="11.42578125" style="78"/>
    <col min="14" max="14" width="14.7109375" style="6" customWidth="1"/>
    <col min="15" max="15" width="14.7109375" style="6" hidden="1" customWidth="1"/>
    <col min="16" max="16" width="10.7109375" style="78" hidden="1" customWidth="1"/>
    <col min="17" max="17" width="10.7109375" style="78" customWidth="1"/>
    <col min="18" max="18" width="14" style="6" bestFit="1" customWidth="1"/>
    <col min="19" max="19" width="14" style="6" customWidth="1"/>
    <col min="20" max="20" width="14.42578125" style="6" bestFit="1" customWidth="1"/>
    <col min="21" max="21" width="14.42578125" style="6" customWidth="1"/>
    <col min="22" max="22" width="15.140625" style="6" customWidth="1"/>
    <col min="23" max="16384" width="11.42578125" style="78"/>
  </cols>
  <sheetData>
    <row r="1" spans="1:24" s="423" customFormat="1" ht="20.25" x14ac:dyDescent="0.3">
      <c r="A1" s="665" t="s">
        <v>0</v>
      </c>
      <c r="B1" s="665"/>
      <c r="C1" s="665"/>
      <c r="D1" s="665"/>
      <c r="E1" s="665"/>
      <c r="F1" s="665"/>
      <c r="G1" s="665"/>
      <c r="H1" s="665"/>
      <c r="I1" s="665"/>
      <c r="J1" s="665"/>
      <c r="K1" s="665"/>
      <c r="L1" s="665"/>
      <c r="M1" s="665"/>
      <c r="N1" s="665"/>
      <c r="O1" s="665"/>
      <c r="P1" s="665"/>
      <c r="Q1" s="665"/>
      <c r="R1" s="665"/>
      <c r="S1" s="665"/>
      <c r="T1" s="665"/>
      <c r="U1" s="665"/>
      <c r="V1" s="665"/>
    </row>
    <row r="2" spans="1:24" s="424" customFormat="1" ht="20.25" x14ac:dyDescent="0.3">
      <c r="A2" s="666" t="s">
        <v>2476</v>
      </c>
      <c r="B2" s="666"/>
      <c r="C2" s="666"/>
      <c r="D2" s="666"/>
      <c r="E2" s="666"/>
      <c r="F2" s="666"/>
      <c r="G2" s="666"/>
      <c r="H2" s="666"/>
      <c r="I2" s="666"/>
      <c r="J2" s="666"/>
      <c r="K2" s="666"/>
      <c r="L2" s="666"/>
      <c r="M2" s="666"/>
      <c r="N2" s="666"/>
      <c r="O2" s="666"/>
      <c r="P2" s="666"/>
      <c r="Q2" s="666"/>
      <c r="R2" s="666"/>
      <c r="S2" s="666"/>
      <c r="T2" s="666"/>
      <c r="U2" s="666"/>
      <c r="V2" s="666"/>
    </row>
    <row r="3" spans="1:24" s="425" customFormat="1" ht="20.25" x14ac:dyDescent="0.3">
      <c r="A3" s="665" t="str">
        <f>'Equipos de Producción'!A3:S3</f>
        <v>(Al 31 de Enero del 2016)</v>
      </c>
      <c r="B3" s="665"/>
      <c r="C3" s="665"/>
      <c r="D3" s="665"/>
      <c r="E3" s="665"/>
      <c r="F3" s="665"/>
      <c r="G3" s="665"/>
      <c r="H3" s="665"/>
      <c r="I3" s="665"/>
      <c r="J3" s="665"/>
      <c r="K3" s="665"/>
      <c r="L3" s="665"/>
      <c r="M3" s="665"/>
      <c r="N3" s="665"/>
      <c r="O3" s="665"/>
      <c r="P3" s="665"/>
      <c r="Q3" s="665"/>
      <c r="R3" s="665"/>
      <c r="S3" s="665"/>
      <c r="T3" s="665"/>
      <c r="U3" s="665"/>
      <c r="V3" s="665"/>
    </row>
    <row r="4" spans="1:24" s="425" customFormat="1" ht="12.75" x14ac:dyDescent="0.2">
      <c r="A4" s="426"/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  <c r="O4" s="426"/>
      <c r="P4" s="426"/>
      <c r="Q4" s="426"/>
      <c r="R4" s="426"/>
      <c r="S4" s="426"/>
      <c r="T4" s="426"/>
      <c r="U4" s="426"/>
      <c r="V4" s="426"/>
      <c r="X4" s="121">
        <f>+'Equipos de Producción'!W4</f>
        <v>42400</v>
      </c>
    </row>
    <row r="5" spans="1:24" x14ac:dyDescent="0.25">
      <c r="H5" s="667" t="s">
        <v>2</v>
      </c>
      <c r="I5" s="668"/>
      <c r="J5" s="669"/>
      <c r="R5" s="660" t="s">
        <v>3</v>
      </c>
      <c r="S5" s="661"/>
      <c r="T5" s="661"/>
      <c r="U5" s="662"/>
      <c r="X5" s="45"/>
    </row>
    <row r="6" spans="1:24" s="11" customFormat="1" ht="63" x14ac:dyDescent="0.25">
      <c r="A6" s="8" t="s">
        <v>4</v>
      </c>
      <c r="B6" s="8" t="s">
        <v>7</v>
      </c>
      <c r="C6" s="8" t="s">
        <v>8</v>
      </c>
      <c r="D6" s="8" t="s">
        <v>9</v>
      </c>
      <c r="E6" s="8" t="s">
        <v>10</v>
      </c>
      <c r="F6" s="8" t="s">
        <v>11</v>
      </c>
      <c r="G6" s="8" t="s">
        <v>12</v>
      </c>
      <c r="H6" s="427" t="s">
        <v>13</v>
      </c>
      <c r="I6" s="427" t="s">
        <v>14</v>
      </c>
      <c r="J6" s="428" t="s">
        <v>15</v>
      </c>
      <c r="K6" s="8" t="s">
        <v>16</v>
      </c>
      <c r="L6" s="8" t="s">
        <v>17</v>
      </c>
      <c r="M6" s="8" t="s">
        <v>18</v>
      </c>
      <c r="N6" s="9" t="s">
        <v>19</v>
      </c>
      <c r="O6" s="438" t="s">
        <v>6</v>
      </c>
      <c r="P6" s="439" t="s">
        <v>20</v>
      </c>
      <c r="Q6" s="440" t="s">
        <v>21</v>
      </c>
      <c r="R6" s="9" t="s">
        <v>22</v>
      </c>
      <c r="S6" s="10" t="str">
        <f>+'Equipos de Producción'!$R$6</f>
        <v>Acumulada Diciembre 2015</v>
      </c>
      <c r="T6" s="10" t="str">
        <f>+'Equipos de Producción'!$S$6</f>
        <v>Acumulada Enero 2016</v>
      </c>
      <c r="U6" s="10" t="str">
        <f>+'Equipos de Producción'!$T$6</f>
        <v>Deprec. a Registrar Enero 2016</v>
      </c>
      <c r="V6" s="129" t="s">
        <v>23</v>
      </c>
      <c r="X6" s="387" t="s">
        <v>25</v>
      </c>
    </row>
    <row r="7" spans="1:24" x14ac:dyDescent="0.25">
      <c r="A7" s="78" t="s">
        <v>2477</v>
      </c>
      <c r="B7" s="75" t="s">
        <v>2914</v>
      </c>
      <c r="C7" s="78" t="s">
        <v>2478</v>
      </c>
      <c r="D7" s="78" t="s">
        <v>2917</v>
      </c>
      <c r="E7" s="7" t="s">
        <v>2479</v>
      </c>
      <c r="F7" s="78" t="s">
        <v>2480</v>
      </c>
      <c r="G7" s="132" t="str">
        <f t="shared" ref="G7:G14" si="0">CONCATENATE(H7,"/",I7,"/",J7,)</f>
        <v>6/8/2003</v>
      </c>
      <c r="H7" s="429">
        <v>6</v>
      </c>
      <c r="I7" s="429">
        <v>8</v>
      </c>
      <c r="J7" s="430">
        <v>2003</v>
      </c>
      <c r="K7" s="78" t="s">
        <v>56</v>
      </c>
      <c r="L7" s="431">
        <v>442</v>
      </c>
      <c r="M7" s="78" t="s">
        <v>2481</v>
      </c>
      <c r="N7" s="6">
        <v>903735</v>
      </c>
      <c r="O7" s="441" t="s">
        <v>564</v>
      </c>
      <c r="P7" s="442">
        <v>2</v>
      </c>
      <c r="Q7" s="442">
        <v>5</v>
      </c>
      <c r="R7" s="380">
        <v>0</v>
      </c>
      <c r="S7" s="5">
        <v>903733.99999999988</v>
      </c>
      <c r="T7" s="5">
        <v>903733.99999999988</v>
      </c>
      <c r="U7" s="15">
        <f t="shared" ref="U7:U15" si="1">T7-S7</f>
        <v>0</v>
      </c>
      <c r="V7" s="380">
        <f t="shared" ref="V7:V15" si="2">N7-T7</f>
        <v>1.0000000001164153</v>
      </c>
      <c r="X7" s="44">
        <f t="shared" ref="X7:X14" si="3">IF((DATEDIF(G7,X$4,"m"))&gt;=60,60,(DATEDIF(G7,X$4,"m")))</f>
        <v>60</v>
      </c>
    </row>
    <row r="8" spans="1:24" x14ac:dyDescent="0.25">
      <c r="A8" s="78" t="s">
        <v>2482</v>
      </c>
      <c r="B8" s="432" t="s">
        <v>2918</v>
      </c>
      <c r="C8" s="78" t="s">
        <v>2478</v>
      </c>
      <c r="D8" s="78" t="s">
        <v>2919</v>
      </c>
      <c r="E8" s="78" t="s">
        <v>2483</v>
      </c>
      <c r="G8" s="132" t="str">
        <f t="shared" si="0"/>
        <v>31/3/2008</v>
      </c>
      <c r="H8" s="429">
        <v>31</v>
      </c>
      <c r="I8" s="429">
        <v>3</v>
      </c>
      <c r="J8" s="430">
        <v>2008</v>
      </c>
      <c r="K8" s="78" t="s">
        <v>420</v>
      </c>
      <c r="L8" s="431">
        <v>1918</v>
      </c>
      <c r="M8" s="78" t="s">
        <v>2481</v>
      </c>
      <c r="N8" s="6">
        <v>1247716.67</v>
      </c>
      <c r="O8" s="443" t="s">
        <v>564</v>
      </c>
      <c r="P8" s="442">
        <v>2</v>
      </c>
      <c r="Q8" s="442">
        <v>5</v>
      </c>
      <c r="R8" s="380">
        <v>0</v>
      </c>
      <c r="S8" s="5">
        <v>1247715.67</v>
      </c>
      <c r="T8" s="5">
        <v>1247715.67</v>
      </c>
      <c r="U8" s="15">
        <f t="shared" si="1"/>
        <v>0</v>
      </c>
      <c r="V8" s="6">
        <f t="shared" si="2"/>
        <v>1</v>
      </c>
      <c r="X8" s="44">
        <f t="shared" si="3"/>
        <v>60</v>
      </c>
    </row>
    <row r="9" spans="1:24" ht="31.5" x14ac:dyDescent="0.25">
      <c r="A9" s="78" t="s">
        <v>2484</v>
      </c>
      <c r="B9" s="75" t="s">
        <v>2913</v>
      </c>
      <c r="C9" s="78" t="s">
        <v>2478</v>
      </c>
      <c r="D9" s="78" t="s">
        <v>2912</v>
      </c>
      <c r="E9" s="78" t="s">
        <v>2485</v>
      </c>
      <c r="G9" s="132" t="str">
        <f t="shared" si="0"/>
        <v>31/3/2008</v>
      </c>
      <c r="H9" s="429">
        <v>31</v>
      </c>
      <c r="I9" s="429">
        <v>3</v>
      </c>
      <c r="J9" s="430">
        <v>2008</v>
      </c>
      <c r="K9" s="78" t="s">
        <v>420</v>
      </c>
      <c r="L9" s="431">
        <v>1918</v>
      </c>
      <c r="M9" s="78" t="s">
        <v>2481</v>
      </c>
      <c r="N9" s="6">
        <v>800171.67</v>
      </c>
      <c r="O9" s="441" t="s">
        <v>564</v>
      </c>
      <c r="P9" s="442">
        <v>2</v>
      </c>
      <c r="Q9" s="442">
        <v>5</v>
      </c>
      <c r="R9" s="380">
        <v>0</v>
      </c>
      <c r="S9" s="5">
        <v>800170.67000000016</v>
      </c>
      <c r="T9" s="5">
        <v>800170.67000000016</v>
      </c>
      <c r="U9" s="15">
        <f t="shared" si="1"/>
        <v>0</v>
      </c>
      <c r="V9" s="6">
        <f t="shared" si="2"/>
        <v>0.99999999988358468</v>
      </c>
      <c r="X9" s="44">
        <f t="shared" si="3"/>
        <v>60</v>
      </c>
    </row>
    <row r="10" spans="1:24" ht="31.5" x14ac:dyDescent="0.25">
      <c r="A10" s="78" t="s">
        <v>2486</v>
      </c>
      <c r="B10" s="75" t="s">
        <v>2913</v>
      </c>
      <c r="C10" s="78" t="s">
        <v>2478</v>
      </c>
      <c r="D10" s="78" t="s">
        <v>2912</v>
      </c>
      <c r="E10" s="78" t="s">
        <v>2487</v>
      </c>
      <c r="G10" s="132" t="str">
        <f t="shared" si="0"/>
        <v>31/3/2008</v>
      </c>
      <c r="H10" s="429">
        <v>31</v>
      </c>
      <c r="I10" s="429">
        <v>3</v>
      </c>
      <c r="J10" s="430">
        <v>2008</v>
      </c>
      <c r="K10" s="78" t="s">
        <v>420</v>
      </c>
      <c r="L10" s="431">
        <v>1918</v>
      </c>
      <c r="M10" s="78" t="s">
        <v>2481</v>
      </c>
      <c r="N10" s="6">
        <v>798171.66</v>
      </c>
      <c r="O10" s="441" t="s">
        <v>564</v>
      </c>
      <c r="P10" s="442">
        <v>2</v>
      </c>
      <c r="Q10" s="442">
        <v>5</v>
      </c>
      <c r="R10" s="380">
        <v>0</v>
      </c>
      <c r="S10" s="5">
        <v>798170.66</v>
      </c>
      <c r="T10" s="5">
        <v>798170.66</v>
      </c>
      <c r="U10" s="15">
        <f t="shared" si="1"/>
        <v>0</v>
      </c>
      <c r="V10" s="6">
        <f t="shared" si="2"/>
        <v>1</v>
      </c>
      <c r="X10" s="44">
        <f t="shared" si="3"/>
        <v>60</v>
      </c>
    </row>
    <row r="11" spans="1:24" ht="31.5" x14ac:dyDescent="0.25">
      <c r="B11" s="75" t="s">
        <v>2913</v>
      </c>
      <c r="C11" s="78" t="s">
        <v>2920</v>
      </c>
      <c r="D11" s="78" t="s">
        <v>2925</v>
      </c>
      <c r="E11" s="78" t="s">
        <v>2921</v>
      </c>
      <c r="G11" s="132"/>
      <c r="H11" s="429">
        <v>31</v>
      </c>
      <c r="I11" s="429">
        <v>3</v>
      </c>
      <c r="J11" s="651">
        <v>2008</v>
      </c>
      <c r="L11" s="431"/>
      <c r="M11" s="78" t="s">
        <v>2481</v>
      </c>
      <c r="N11" s="6">
        <v>0</v>
      </c>
      <c r="O11" s="441" t="s">
        <v>564</v>
      </c>
      <c r="P11" s="442">
        <v>2</v>
      </c>
      <c r="Q11" s="442">
        <v>5</v>
      </c>
      <c r="R11" s="380">
        <v>0</v>
      </c>
      <c r="S11" s="5">
        <v>0</v>
      </c>
      <c r="T11" s="5">
        <v>0</v>
      </c>
      <c r="U11" s="15">
        <f t="shared" ref="U11" si="4">T11-S11</f>
        <v>0</v>
      </c>
      <c r="V11" s="6">
        <f t="shared" ref="V11" si="5">N11-T11</f>
        <v>0</v>
      </c>
      <c r="X11" s="44">
        <f t="shared" ref="X11" si="6">IF((DATEDIF(G11,X$4,"m"))&gt;=60,60,(DATEDIF(G11,X$4,"m")))</f>
        <v>60</v>
      </c>
    </row>
    <row r="12" spans="1:24" x14ac:dyDescent="0.25">
      <c r="B12" s="75" t="s">
        <v>2922</v>
      </c>
      <c r="C12" s="78" t="s">
        <v>2923</v>
      </c>
      <c r="D12" s="78" t="s">
        <v>2924</v>
      </c>
      <c r="E12" s="78" t="s">
        <v>2926</v>
      </c>
      <c r="G12" s="132"/>
      <c r="H12" s="429">
        <v>31</v>
      </c>
      <c r="I12" s="429">
        <v>3</v>
      </c>
      <c r="J12" s="651">
        <v>2008</v>
      </c>
      <c r="L12" s="431"/>
      <c r="M12" s="78" t="s">
        <v>2481</v>
      </c>
      <c r="N12" s="6">
        <v>0</v>
      </c>
      <c r="O12" s="441" t="s">
        <v>564</v>
      </c>
      <c r="P12" s="442">
        <v>2</v>
      </c>
      <c r="Q12" s="442">
        <v>5</v>
      </c>
      <c r="R12" s="380">
        <v>0</v>
      </c>
      <c r="S12" s="5">
        <v>0</v>
      </c>
      <c r="T12" s="5">
        <v>0</v>
      </c>
      <c r="U12" s="15">
        <f t="shared" ref="U12" si="7">T12-S12</f>
        <v>0</v>
      </c>
      <c r="V12" s="6">
        <f t="shared" ref="V12" si="8">N12-T12</f>
        <v>0</v>
      </c>
      <c r="X12" s="44">
        <f t="shared" ref="X12" si="9">IF((DATEDIF(G12,X$4,"m"))&gt;=60,60,(DATEDIF(G12,X$4,"m")))</f>
        <v>60</v>
      </c>
    </row>
    <row r="13" spans="1:24" ht="31.5" x14ac:dyDescent="0.25">
      <c r="B13" s="75" t="s">
        <v>2915</v>
      </c>
      <c r="C13" s="78" t="s">
        <v>2488</v>
      </c>
      <c r="D13" s="78" t="s">
        <v>2489</v>
      </c>
      <c r="F13" s="75" t="s">
        <v>2490</v>
      </c>
      <c r="G13" s="132" t="str">
        <f t="shared" si="0"/>
        <v>28/9/2010</v>
      </c>
      <c r="H13" s="429">
        <v>28</v>
      </c>
      <c r="I13" s="429">
        <v>9</v>
      </c>
      <c r="J13" s="430">
        <v>2010</v>
      </c>
      <c r="K13" s="78" t="s">
        <v>56</v>
      </c>
      <c r="L13" s="431">
        <v>6301</v>
      </c>
      <c r="M13" s="78" t="s">
        <v>2481</v>
      </c>
      <c r="N13" s="6">
        <v>1729686.75</v>
      </c>
      <c r="O13" s="441" t="s">
        <v>564</v>
      </c>
      <c r="P13" s="442">
        <v>2</v>
      </c>
      <c r="Q13" s="442">
        <v>5</v>
      </c>
      <c r="R13" s="6">
        <v>0</v>
      </c>
      <c r="S13" s="5">
        <v>1729685.75</v>
      </c>
      <c r="T13" s="5">
        <v>1729685.75</v>
      </c>
      <c r="U13" s="15">
        <f t="shared" si="1"/>
        <v>0</v>
      </c>
      <c r="V13" s="6">
        <f>N13-T13</f>
        <v>1</v>
      </c>
      <c r="X13" s="44">
        <f t="shared" si="3"/>
        <v>60</v>
      </c>
    </row>
    <row r="14" spans="1:24" ht="31.5" x14ac:dyDescent="0.25">
      <c r="B14" s="75" t="s">
        <v>2915</v>
      </c>
      <c r="C14" s="78" t="s">
        <v>2488</v>
      </c>
      <c r="D14" s="78" t="s">
        <v>2489</v>
      </c>
      <c r="F14" s="75" t="s">
        <v>2490</v>
      </c>
      <c r="G14" s="132" t="str">
        <f t="shared" si="0"/>
        <v>28/9/2010</v>
      </c>
      <c r="H14" s="429">
        <v>28</v>
      </c>
      <c r="I14" s="429">
        <v>9</v>
      </c>
      <c r="J14" s="430">
        <v>2010</v>
      </c>
      <c r="K14" s="78" t="s">
        <v>56</v>
      </c>
      <c r="L14" s="431">
        <v>6301</v>
      </c>
      <c r="M14" s="78" t="s">
        <v>2481</v>
      </c>
      <c r="N14" s="6">
        <v>1729686.75</v>
      </c>
      <c r="O14" s="441" t="s">
        <v>564</v>
      </c>
      <c r="P14" s="442">
        <v>2</v>
      </c>
      <c r="Q14" s="442">
        <v>5</v>
      </c>
      <c r="R14" s="6">
        <v>0</v>
      </c>
      <c r="S14" s="5">
        <v>1729685.75</v>
      </c>
      <c r="T14" s="5">
        <v>1729685.75</v>
      </c>
      <c r="U14" s="15">
        <f t="shared" si="1"/>
        <v>0</v>
      </c>
      <c r="V14" s="6">
        <f t="shared" si="2"/>
        <v>1</v>
      </c>
      <c r="X14" s="44">
        <f t="shared" si="3"/>
        <v>60</v>
      </c>
    </row>
    <row r="15" spans="1:24" s="7" customFormat="1" ht="31.5" x14ac:dyDescent="0.25">
      <c r="B15" s="579" t="s">
        <v>2916</v>
      </c>
      <c r="C15" s="7" t="s">
        <v>2478</v>
      </c>
      <c r="D15" s="7" t="s">
        <v>2912</v>
      </c>
      <c r="F15" s="579"/>
      <c r="H15" s="652"/>
      <c r="I15" s="652"/>
      <c r="J15" s="650"/>
      <c r="M15" s="7" t="s">
        <v>2481</v>
      </c>
      <c r="N15" s="447">
        <v>1128390.1399999999</v>
      </c>
      <c r="O15" s="653" t="s">
        <v>2491</v>
      </c>
      <c r="P15" s="33">
        <v>2</v>
      </c>
      <c r="Q15" s="33">
        <v>5</v>
      </c>
      <c r="R15" s="447">
        <v>0</v>
      </c>
      <c r="S15" s="447">
        <f>996744.61+131645.53-1</f>
        <v>1128389.1399999999</v>
      </c>
      <c r="T15" s="447">
        <f>996744.61+131645.53-1</f>
        <v>1128389.1399999999</v>
      </c>
      <c r="U15" s="447">
        <f>T15-S15</f>
        <v>0</v>
      </c>
      <c r="V15" s="447">
        <f>N15-T15</f>
        <v>1</v>
      </c>
    </row>
    <row r="16" spans="1:24" s="433" customFormat="1" ht="16.5" thickBot="1" x14ac:dyDescent="0.3">
      <c r="A16" s="433" t="s">
        <v>2492</v>
      </c>
      <c r="B16" s="434"/>
      <c r="H16" s="435"/>
      <c r="I16" s="435"/>
      <c r="J16" s="436"/>
      <c r="N16" s="437">
        <f>SUM(N7:N15)</f>
        <v>8337558.6399999997</v>
      </c>
      <c r="O16" s="444"/>
      <c r="P16" s="445"/>
      <c r="Q16" s="445"/>
      <c r="R16" s="437">
        <f>SUM(R7:R15)</f>
        <v>0</v>
      </c>
      <c r="S16" s="437">
        <v>8205907.1100000003</v>
      </c>
      <c r="T16" s="437">
        <f>SUM(T7:T15)</f>
        <v>8337551.6399999997</v>
      </c>
      <c r="U16" s="437">
        <f>SUM(U7:U15)</f>
        <v>0</v>
      </c>
      <c r="V16" s="437">
        <f>SUM(V7:V15)</f>
        <v>7</v>
      </c>
    </row>
    <row r="17" spans="2:24" ht="16.5" thickTop="1" x14ac:dyDescent="0.25">
      <c r="O17" s="441"/>
      <c r="P17" s="442"/>
      <c r="Q17" s="442"/>
    </row>
    <row r="18" spans="2:24" ht="31.5" x14ac:dyDescent="0.25">
      <c r="B18" s="53" t="s">
        <v>2493</v>
      </c>
      <c r="C18" s="78" t="s">
        <v>2494</v>
      </c>
      <c r="D18" s="78" t="s">
        <v>2495</v>
      </c>
      <c r="E18" s="78" t="s">
        <v>2496</v>
      </c>
      <c r="F18" s="75" t="s">
        <v>2497</v>
      </c>
      <c r="G18" s="132">
        <v>41753</v>
      </c>
      <c r="H18" s="429">
        <v>28</v>
      </c>
      <c r="I18" s="429">
        <v>9</v>
      </c>
      <c r="J18" s="430">
        <v>2010</v>
      </c>
      <c r="K18" s="78" t="s">
        <v>56</v>
      </c>
      <c r="L18" s="431" t="s">
        <v>2498</v>
      </c>
      <c r="M18" s="78" t="s">
        <v>2481</v>
      </c>
      <c r="N18" s="6">
        <v>1291248</v>
      </c>
      <c r="O18" s="441" t="s">
        <v>564</v>
      </c>
      <c r="P18" s="442">
        <v>2</v>
      </c>
      <c r="Q18" s="442">
        <v>5</v>
      </c>
      <c r="R18" s="6">
        <f>((N18-1)/(Q18*12))</f>
        <v>21520.783333333333</v>
      </c>
      <c r="S18" s="5">
        <v>430415.66666666663</v>
      </c>
      <c r="T18" s="6">
        <f>R18*X18</f>
        <v>451936.45</v>
      </c>
      <c r="U18" s="15">
        <f>T18-S18</f>
        <v>21520.783333333384</v>
      </c>
      <c r="V18" s="6">
        <f>N18-T18</f>
        <v>839311.55</v>
      </c>
      <c r="X18" s="44">
        <f>IF((DATEDIF(G18,X$4,"m"))&gt;=60,60,(DATEDIF(G18,X$4,"m")))</f>
        <v>21</v>
      </c>
    </row>
    <row r="19" spans="2:24" ht="31.5" x14ac:dyDescent="0.25">
      <c r="B19" s="53" t="s">
        <v>2493</v>
      </c>
      <c r="C19" s="78" t="s">
        <v>2494</v>
      </c>
      <c r="D19" s="78" t="s">
        <v>2495</v>
      </c>
      <c r="E19" s="78" t="s">
        <v>2499</v>
      </c>
      <c r="F19" s="75" t="s">
        <v>2497</v>
      </c>
      <c r="G19" s="132">
        <v>41753</v>
      </c>
      <c r="H19" s="429">
        <v>28</v>
      </c>
      <c r="I19" s="429">
        <v>9</v>
      </c>
      <c r="J19" s="430">
        <v>2010</v>
      </c>
      <c r="K19" s="78" t="s">
        <v>56</v>
      </c>
      <c r="L19" s="431" t="s">
        <v>2500</v>
      </c>
      <c r="M19" s="78" t="s">
        <v>2481</v>
      </c>
      <c r="N19" s="6">
        <v>1291248</v>
      </c>
      <c r="O19" s="441" t="s">
        <v>564</v>
      </c>
      <c r="P19" s="442">
        <v>2</v>
      </c>
      <c r="Q19" s="442">
        <v>5</v>
      </c>
      <c r="R19" s="6">
        <f>((N19-1)/(Q19*12))</f>
        <v>21520.783333333333</v>
      </c>
      <c r="S19" s="5">
        <v>430415.66666666663</v>
      </c>
      <c r="T19" s="6">
        <f>R19*X19</f>
        <v>451936.45</v>
      </c>
      <c r="U19" s="15">
        <f>T19-S19</f>
        <v>21520.783333333384</v>
      </c>
      <c r="V19" s="6">
        <f>N19-T19</f>
        <v>839311.55</v>
      </c>
      <c r="X19" s="44">
        <f>IF((DATEDIF(G19,X$4,"m"))&gt;=60,60,(DATEDIF(G19,X$4,"m")))</f>
        <v>21</v>
      </c>
    </row>
    <row r="20" spans="2:24" ht="16.5" thickBot="1" x14ac:dyDescent="0.3">
      <c r="F20" s="75"/>
      <c r="G20" s="132"/>
      <c r="L20" s="431"/>
      <c r="N20" s="437">
        <f>SUM(N18:N19)</f>
        <v>2582496</v>
      </c>
      <c r="O20" s="444"/>
      <c r="P20" s="445"/>
      <c r="Q20" s="445"/>
      <c r="R20" s="437">
        <f>SUM(R18:R19)</f>
        <v>43041.566666666666</v>
      </c>
      <c r="S20" s="437">
        <v>860831.33333333326</v>
      </c>
      <c r="T20" s="437">
        <f>SUM(T18:T19)</f>
        <v>903872.9</v>
      </c>
      <c r="U20" s="437">
        <f>SUM(U18:U19)</f>
        <v>43041.566666666768</v>
      </c>
      <c r="V20" s="437">
        <f>SUM(V18:V19)</f>
        <v>1678623.1</v>
      </c>
      <c r="X20" s="44"/>
    </row>
    <row r="21" spans="2:24" ht="16.5" thickTop="1" x14ac:dyDescent="0.25">
      <c r="F21" s="75"/>
      <c r="G21" s="132"/>
      <c r="L21" s="431"/>
      <c r="O21" s="441"/>
      <c r="P21" s="442"/>
      <c r="Q21" s="442"/>
      <c r="X21" s="44"/>
    </row>
    <row r="22" spans="2:24" ht="16.5" thickBot="1" x14ac:dyDescent="0.3">
      <c r="F22" s="75"/>
      <c r="G22" s="132"/>
      <c r="L22" s="431"/>
      <c r="N22" s="437">
        <f>+N16+N20</f>
        <v>10920054.640000001</v>
      </c>
      <c r="O22" s="444"/>
      <c r="P22" s="445"/>
      <c r="Q22" s="445"/>
      <c r="R22" s="437">
        <f>+R16+R20</f>
        <v>43041.566666666666</v>
      </c>
      <c r="S22" s="437">
        <v>9066738.4433333334</v>
      </c>
      <c r="T22" s="437">
        <f>+T16+T20</f>
        <v>9241424.5399999991</v>
      </c>
      <c r="U22" s="437">
        <f>+U16+U20</f>
        <v>43041.566666666768</v>
      </c>
      <c r="V22" s="437">
        <f>+V16+V20</f>
        <v>1678630.1</v>
      </c>
      <c r="X22" s="44"/>
    </row>
    <row r="23" spans="2:24" ht="16.5" thickTop="1" x14ac:dyDescent="0.25"/>
  </sheetData>
  <sheetProtection sort="0" autoFilter="0"/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98425196850393704" bottom="0.98425196850393704" header="0" footer="0"/>
  <pageSetup paperSize="5" scale="56" fitToHeight="2" orientation="landscape" r:id="rId1"/>
  <headerFooter alignWithMargins="0">
    <oddFooter>Página &amp;P&amp;R&amp;A</oddFooter>
  </headerFooter>
  <colBreaks count="1" manualBreakCount="1">
    <brk id="2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595"/>
  <sheetViews>
    <sheetView zoomScaleNormal="100" workbookViewId="0">
      <pane xSplit="4" ySplit="6" topLeftCell="I437" activePane="bottomRight" state="frozen"/>
      <selection pane="topRight" activeCell="C1" sqref="C1"/>
      <selection pane="bottomLeft" activeCell="A6" sqref="A6"/>
      <selection pane="bottomRight" activeCell="P450" sqref="P450:P452"/>
    </sheetView>
  </sheetViews>
  <sheetFormatPr baseColWidth="10" defaultColWidth="55.7109375" defaultRowHeight="15.75" x14ac:dyDescent="0.25"/>
  <cols>
    <col min="1" max="1" width="11.85546875" style="4" customWidth="1"/>
    <col min="2" max="2" width="3.42578125" style="4" hidden="1" customWidth="1"/>
    <col min="3" max="3" width="4.140625" style="4" hidden="1" customWidth="1"/>
    <col min="4" max="4" width="41.5703125" style="4" customWidth="1"/>
    <col min="5" max="5" width="18.42578125" style="4" customWidth="1"/>
    <col min="6" max="6" width="22.85546875" style="4" customWidth="1"/>
    <col min="7" max="7" width="27.28515625" style="4" customWidth="1"/>
    <col min="8" max="8" width="19.140625" style="4" customWidth="1"/>
    <col min="9" max="9" width="12" style="4" bestFit="1" customWidth="1"/>
    <col min="10" max="10" width="5" style="13" customWidth="1"/>
    <col min="11" max="11" width="6.28515625" style="13" customWidth="1"/>
    <col min="12" max="12" width="6.7109375" style="20" customWidth="1"/>
    <col min="13" max="13" width="10.5703125" style="4" customWidth="1"/>
    <col min="14" max="14" width="17.85546875" style="4" customWidth="1"/>
    <col min="15" max="15" width="18.85546875" style="4" customWidth="1"/>
    <col min="16" max="16" width="17" style="5" customWidth="1"/>
    <col min="17" max="17" width="8.7109375" style="33" hidden="1" customWidth="1"/>
    <col min="18" max="18" width="2.7109375" style="33" hidden="1" customWidth="1"/>
    <col min="19" max="19" width="5.140625" style="52" customWidth="1"/>
    <col min="20" max="21" width="15.7109375" style="5" customWidth="1"/>
    <col min="22" max="24" width="15.7109375" style="15" customWidth="1"/>
    <col min="25" max="25" width="14.42578125" style="7" customWidth="1"/>
    <col min="26" max="27" width="9.140625" style="7" customWidth="1"/>
    <col min="28" max="28" width="11.7109375" style="7" customWidth="1"/>
    <col min="29" max="255" width="9.140625" style="7" customWidth="1"/>
    <col min="256" max="16384" width="55.7109375" style="7"/>
  </cols>
  <sheetData>
    <row r="1" spans="1:29" s="1" customFormat="1" ht="20.25" x14ac:dyDescent="0.3">
      <c r="A1" s="670" t="s">
        <v>0</v>
      </c>
      <c r="B1" s="670"/>
      <c r="C1" s="670"/>
      <c r="D1" s="670"/>
      <c r="E1" s="670"/>
      <c r="F1" s="670"/>
      <c r="G1" s="670"/>
      <c r="H1" s="670"/>
      <c r="I1" s="670"/>
      <c r="J1" s="670"/>
      <c r="K1" s="670"/>
      <c r="L1" s="670"/>
      <c r="M1" s="670"/>
      <c r="N1" s="670"/>
      <c r="O1" s="670"/>
      <c r="P1" s="670"/>
      <c r="Q1" s="670"/>
      <c r="R1" s="670"/>
      <c r="S1" s="670"/>
      <c r="T1" s="670"/>
      <c r="U1" s="670"/>
      <c r="V1" s="670"/>
      <c r="W1" s="670"/>
      <c r="X1" s="670"/>
      <c r="Y1" s="670"/>
    </row>
    <row r="2" spans="1:29" s="1" customFormat="1" ht="20.25" x14ac:dyDescent="0.3">
      <c r="A2" s="671" t="s">
        <v>1</v>
      </c>
      <c r="B2" s="671"/>
      <c r="C2" s="671"/>
      <c r="D2" s="671"/>
      <c r="E2" s="671"/>
      <c r="F2" s="671"/>
      <c r="G2" s="671"/>
      <c r="H2" s="671"/>
      <c r="I2" s="671"/>
      <c r="J2" s="671"/>
      <c r="K2" s="671"/>
      <c r="L2" s="671"/>
      <c r="M2" s="671"/>
      <c r="N2" s="671"/>
      <c r="O2" s="671"/>
      <c r="P2" s="671"/>
      <c r="Q2" s="671"/>
      <c r="R2" s="671"/>
      <c r="S2" s="671"/>
      <c r="T2" s="671"/>
      <c r="U2" s="671"/>
      <c r="V2" s="671"/>
      <c r="W2" s="671"/>
      <c r="X2" s="671"/>
    </row>
    <row r="3" spans="1:29" s="1" customFormat="1" x14ac:dyDescent="0.25">
      <c r="A3" s="672" t="str">
        <f>+'Equipos de Producción'!A3:U3</f>
        <v>(Al 31 de Enero del 2016)</v>
      </c>
      <c r="B3" s="672"/>
      <c r="C3" s="672"/>
      <c r="D3" s="672"/>
      <c r="E3" s="672"/>
      <c r="F3" s="672"/>
      <c r="G3" s="672"/>
      <c r="H3" s="672"/>
      <c r="I3" s="672"/>
      <c r="J3" s="672"/>
      <c r="K3" s="672"/>
      <c r="L3" s="672"/>
      <c r="M3" s="672"/>
      <c r="N3" s="672"/>
      <c r="O3" s="672"/>
      <c r="P3" s="672"/>
      <c r="Q3" s="672"/>
      <c r="R3" s="672"/>
      <c r="S3" s="672"/>
      <c r="T3" s="672"/>
      <c r="U3" s="672"/>
      <c r="V3" s="672"/>
      <c r="W3" s="672"/>
      <c r="X3" s="672"/>
    </row>
    <row r="4" spans="1:29" s="1" customFormat="1" x14ac:dyDescent="0.25">
      <c r="A4" s="559"/>
      <c r="B4" s="559"/>
      <c r="C4" s="559"/>
      <c r="D4" s="559"/>
      <c r="E4" s="559"/>
      <c r="F4" s="559"/>
      <c r="G4" s="559"/>
      <c r="H4" s="559"/>
      <c r="I4" s="559"/>
      <c r="J4" s="559"/>
      <c r="K4" s="559"/>
      <c r="L4" s="559"/>
      <c r="M4" s="559"/>
      <c r="N4" s="2"/>
      <c r="O4" s="2"/>
      <c r="P4" s="559"/>
      <c r="Q4" s="564"/>
      <c r="R4" s="564"/>
      <c r="S4" s="564"/>
      <c r="T4" s="559"/>
      <c r="U4" s="559"/>
      <c r="V4" s="559"/>
      <c r="W4" s="559"/>
      <c r="X4" s="559"/>
      <c r="AB4" s="3">
        <f>+'Equipos de Producción'!W4</f>
        <v>42400</v>
      </c>
    </row>
    <row r="5" spans="1:29" x14ac:dyDescent="0.25">
      <c r="J5" s="673" t="s">
        <v>2</v>
      </c>
      <c r="K5" s="673"/>
      <c r="L5" s="673"/>
      <c r="T5" s="660" t="s">
        <v>3</v>
      </c>
      <c r="U5" s="661"/>
      <c r="V5" s="661"/>
      <c r="W5" s="662"/>
      <c r="X5" s="447"/>
    </row>
    <row r="6" spans="1:29" s="11" customFormat="1" ht="35.25" customHeight="1" x14ac:dyDescent="0.25">
      <c r="A6" s="601" t="s">
        <v>4</v>
      </c>
      <c r="B6" s="601" t="s">
        <v>5</v>
      </c>
      <c r="C6" s="601" t="s">
        <v>6</v>
      </c>
      <c r="D6" s="601" t="s">
        <v>7</v>
      </c>
      <c r="E6" s="601" t="s">
        <v>8</v>
      </c>
      <c r="F6" s="601" t="s">
        <v>9</v>
      </c>
      <c r="G6" s="601" t="s">
        <v>10</v>
      </c>
      <c r="H6" s="601" t="s">
        <v>11</v>
      </c>
      <c r="I6" s="601" t="s">
        <v>12</v>
      </c>
      <c r="J6" s="602" t="s">
        <v>13</v>
      </c>
      <c r="K6" s="602" t="s">
        <v>14</v>
      </c>
      <c r="L6" s="603" t="s">
        <v>15</v>
      </c>
      <c r="M6" s="601" t="s">
        <v>16</v>
      </c>
      <c r="N6" s="601" t="s">
        <v>17</v>
      </c>
      <c r="O6" s="601" t="s">
        <v>18</v>
      </c>
      <c r="P6" s="607" t="s">
        <v>19</v>
      </c>
      <c r="Q6" s="609" t="s">
        <v>20</v>
      </c>
      <c r="R6" s="609"/>
      <c r="S6" s="610" t="s">
        <v>21</v>
      </c>
      <c r="T6" s="608" t="s">
        <v>22</v>
      </c>
      <c r="U6" s="10" t="str">
        <f>+'Equipos de Producción'!$R$6</f>
        <v>Acumulada Diciembre 2015</v>
      </c>
      <c r="V6" s="10" t="str">
        <f>+'Equipos de Producción'!$S$6</f>
        <v>Acumulada Enero 2016</v>
      </c>
      <c r="W6" s="10" t="str">
        <f>+'Equipos de Producción'!$T$6</f>
        <v>Deprec. a Registrar Enero 2016</v>
      </c>
      <c r="X6" s="604" t="s">
        <v>23</v>
      </c>
      <c r="Y6" s="601" t="s">
        <v>24</v>
      </c>
      <c r="AB6" s="11" t="s">
        <v>25</v>
      </c>
    </row>
    <row r="7" spans="1:29" s="559" customFormat="1" x14ac:dyDescent="0.25">
      <c r="A7" s="12" t="s">
        <v>26</v>
      </c>
      <c r="B7" s="12"/>
      <c r="C7" s="4"/>
      <c r="D7" s="4" t="s">
        <v>27</v>
      </c>
      <c r="E7" s="4" t="s">
        <v>28</v>
      </c>
      <c r="F7" s="4" t="s">
        <v>29</v>
      </c>
      <c r="G7" s="4" t="s">
        <v>30</v>
      </c>
      <c r="H7" s="4"/>
      <c r="I7" s="4"/>
      <c r="J7" s="13"/>
      <c r="K7" s="13">
        <v>1</v>
      </c>
      <c r="L7" s="64">
        <v>2003</v>
      </c>
      <c r="M7" s="4"/>
      <c r="N7" s="4"/>
      <c r="O7" s="4" t="s">
        <v>31</v>
      </c>
      <c r="P7" s="14">
        <v>1</v>
      </c>
      <c r="Q7" s="564">
        <v>2</v>
      </c>
      <c r="R7" s="564"/>
      <c r="S7" s="52">
        <v>3</v>
      </c>
      <c r="T7" s="5">
        <f t="shared" ref="T7:T28" si="0">(((P7)-1)/3)/12</f>
        <v>0</v>
      </c>
      <c r="U7" s="15">
        <v>0</v>
      </c>
      <c r="V7" s="15">
        <v>0</v>
      </c>
      <c r="W7" s="15">
        <f t="shared" ref="W7:W40" si="1">V7-U7</f>
        <v>0</v>
      </c>
      <c r="X7" s="15">
        <f>P7-V7</f>
        <v>1</v>
      </c>
      <c r="AB7" s="67">
        <f>IF((DATEDIF(I7,AB$4,"m"))&gt;=36,36,(DATEDIF(I7,AB$4,"m")))</f>
        <v>36</v>
      </c>
    </row>
    <row r="8" spans="1:29" s="633" customFormat="1" x14ac:dyDescent="0.25">
      <c r="A8" s="624" t="s">
        <v>32</v>
      </c>
      <c r="B8" s="624"/>
      <c r="C8" s="624"/>
      <c r="D8" s="624" t="s">
        <v>33</v>
      </c>
      <c r="E8" s="624" t="s">
        <v>34</v>
      </c>
      <c r="F8" s="624" t="s">
        <v>35</v>
      </c>
      <c r="G8" s="624" t="s">
        <v>36</v>
      </c>
      <c r="H8" s="624"/>
      <c r="I8" s="625"/>
      <c r="J8" s="626"/>
      <c r="K8" s="627">
        <v>1</v>
      </c>
      <c r="L8" s="628">
        <v>2003</v>
      </c>
      <c r="M8" s="624"/>
      <c r="N8" s="624"/>
      <c r="O8" s="624" t="s">
        <v>31</v>
      </c>
      <c r="P8" s="629">
        <v>1</v>
      </c>
      <c r="Q8" s="630">
        <v>2</v>
      </c>
      <c r="R8" s="630"/>
      <c r="S8" s="625">
        <v>3</v>
      </c>
      <c r="T8" s="631">
        <f t="shared" si="0"/>
        <v>0</v>
      </c>
      <c r="U8" s="632">
        <v>0</v>
      </c>
      <c r="V8" s="632">
        <v>0</v>
      </c>
      <c r="W8" s="632">
        <f t="shared" si="1"/>
        <v>0</v>
      </c>
      <c r="X8" s="632">
        <f>P8-V8</f>
        <v>1</v>
      </c>
      <c r="AB8" s="634">
        <f t="shared" ref="AB8:AB40" si="2">IF((DATEDIF(I8,AB$4,"m"))&gt;=36,36,(DATEDIF(I8,AB$4,"m")))</f>
        <v>36</v>
      </c>
    </row>
    <row r="9" spans="1:29" s="633" customFormat="1" x14ac:dyDescent="0.25">
      <c r="A9" s="624" t="s">
        <v>37</v>
      </c>
      <c r="B9" s="624"/>
      <c r="C9" s="624"/>
      <c r="D9" s="624" t="s">
        <v>38</v>
      </c>
      <c r="E9" s="624" t="s">
        <v>39</v>
      </c>
      <c r="F9" s="624" t="s">
        <v>40</v>
      </c>
      <c r="G9" s="624" t="s">
        <v>41</v>
      </c>
      <c r="H9" s="624"/>
      <c r="I9" s="625"/>
      <c r="J9" s="626"/>
      <c r="K9" s="627">
        <v>1</v>
      </c>
      <c r="L9" s="628">
        <v>2003</v>
      </c>
      <c r="M9" s="624"/>
      <c r="N9" s="624"/>
      <c r="O9" s="624" t="s">
        <v>31</v>
      </c>
      <c r="P9" s="629">
        <v>1</v>
      </c>
      <c r="Q9" s="630">
        <v>2</v>
      </c>
      <c r="R9" s="630"/>
      <c r="S9" s="625">
        <v>3</v>
      </c>
      <c r="T9" s="631">
        <f t="shared" si="0"/>
        <v>0</v>
      </c>
      <c r="U9" s="632">
        <v>0</v>
      </c>
      <c r="V9" s="632">
        <v>0</v>
      </c>
      <c r="W9" s="632">
        <f t="shared" si="1"/>
        <v>0</v>
      </c>
      <c r="X9" s="632">
        <f>P9-V9</f>
        <v>1</v>
      </c>
      <c r="AB9" s="634">
        <f t="shared" si="2"/>
        <v>36</v>
      </c>
    </row>
    <row r="10" spans="1:29" s="633" customFormat="1" x14ac:dyDescent="0.25">
      <c r="A10" s="624" t="s">
        <v>42</v>
      </c>
      <c r="B10" s="624"/>
      <c r="C10" s="624"/>
      <c r="D10" s="624" t="s">
        <v>43</v>
      </c>
      <c r="E10" s="624" t="s">
        <v>44</v>
      </c>
      <c r="F10" s="624" t="s">
        <v>45</v>
      </c>
      <c r="G10" s="624" t="s">
        <v>46</v>
      </c>
      <c r="H10" s="624"/>
      <c r="I10" s="625"/>
      <c r="J10" s="626"/>
      <c r="K10" s="627">
        <v>1</v>
      </c>
      <c r="L10" s="628">
        <v>2003</v>
      </c>
      <c r="M10" s="624"/>
      <c r="N10" s="624"/>
      <c r="O10" s="624" t="s">
        <v>31</v>
      </c>
      <c r="P10" s="636">
        <v>1</v>
      </c>
      <c r="Q10" s="630">
        <v>2</v>
      </c>
      <c r="R10" s="624" t="s">
        <v>47</v>
      </c>
      <c r="S10" s="625">
        <v>3</v>
      </c>
      <c r="T10" s="631">
        <f t="shared" si="0"/>
        <v>0</v>
      </c>
      <c r="U10" s="632">
        <v>0</v>
      </c>
      <c r="V10" s="632">
        <v>0</v>
      </c>
      <c r="W10" s="632">
        <f t="shared" si="1"/>
        <v>0</v>
      </c>
      <c r="X10" s="632">
        <f>P10-V10</f>
        <v>1</v>
      </c>
      <c r="AB10" s="634">
        <f t="shared" si="2"/>
        <v>36</v>
      </c>
    </row>
    <row r="11" spans="1:29" s="633" customFormat="1" x14ac:dyDescent="0.25">
      <c r="A11" s="624" t="s">
        <v>48</v>
      </c>
      <c r="B11" s="624"/>
      <c r="C11" s="624"/>
      <c r="D11" s="624" t="s">
        <v>43</v>
      </c>
      <c r="E11" s="624" t="s">
        <v>39</v>
      </c>
      <c r="F11" s="624" t="s">
        <v>49</v>
      </c>
      <c r="G11" s="624" t="s">
        <v>50</v>
      </c>
      <c r="H11" s="624"/>
      <c r="I11" s="625"/>
      <c r="J11" s="626"/>
      <c r="K11" s="627">
        <v>1</v>
      </c>
      <c r="L11" s="628">
        <v>2003</v>
      </c>
      <c r="M11" s="624"/>
      <c r="N11" s="624"/>
      <c r="O11" s="624" t="s">
        <v>31</v>
      </c>
      <c r="P11" s="636">
        <v>1</v>
      </c>
      <c r="Q11" s="630">
        <v>2</v>
      </c>
      <c r="R11" s="630"/>
      <c r="S11" s="625">
        <v>3</v>
      </c>
      <c r="T11" s="631">
        <f t="shared" si="0"/>
        <v>0</v>
      </c>
      <c r="U11" s="632">
        <v>0</v>
      </c>
      <c r="V11" s="632">
        <v>0</v>
      </c>
      <c r="W11" s="632">
        <f t="shared" si="1"/>
        <v>0</v>
      </c>
      <c r="X11" s="632">
        <f>P11-V11</f>
        <v>1</v>
      </c>
      <c r="AB11" s="634">
        <f t="shared" si="2"/>
        <v>36</v>
      </c>
    </row>
    <row r="12" spans="1:29" s="633" customFormat="1" x14ac:dyDescent="0.25">
      <c r="A12" s="624" t="s">
        <v>51</v>
      </c>
      <c r="B12" s="624"/>
      <c r="C12" s="624"/>
      <c r="D12" s="624" t="s">
        <v>52</v>
      </c>
      <c r="E12" s="624" t="s">
        <v>28</v>
      </c>
      <c r="F12" s="624" t="s">
        <v>53</v>
      </c>
      <c r="G12" s="624" t="s">
        <v>54</v>
      </c>
      <c r="H12" s="624" t="s">
        <v>55</v>
      </c>
      <c r="I12" s="639">
        <v>37690</v>
      </c>
      <c r="J12" s="626">
        <v>10</v>
      </c>
      <c r="K12" s="626">
        <v>3</v>
      </c>
      <c r="L12" s="628">
        <v>2003</v>
      </c>
      <c r="M12" s="624" t="s">
        <v>56</v>
      </c>
      <c r="N12" s="624">
        <v>11820</v>
      </c>
      <c r="O12" s="624" t="s">
        <v>31</v>
      </c>
      <c r="P12" s="636">
        <v>15800</v>
      </c>
      <c r="Q12" s="630">
        <v>2</v>
      </c>
      <c r="R12" s="630"/>
      <c r="S12" s="625">
        <v>3</v>
      </c>
      <c r="T12" s="631">
        <v>0</v>
      </c>
      <c r="U12" s="632">
        <v>15799</v>
      </c>
      <c r="V12" s="632">
        <v>15799</v>
      </c>
      <c r="W12" s="632">
        <f t="shared" si="1"/>
        <v>0</v>
      </c>
      <c r="X12" s="632">
        <v>1</v>
      </c>
      <c r="AB12" s="634">
        <f t="shared" si="2"/>
        <v>36</v>
      </c>
    </row>
    <row r="13" spans="1:29" s="559" customFormat="1" x14ac:dyDescent="0.25">
      <c r="A13" s="12" t="s">
        <v>57</v>
      </c>
      <c r="B13" s="12"/>
      <c r="C13" s="4"/>
      <c r="D13" s="4" t="s">
        <v>58</v>
      </c>
      <c r="E13" s="4" t="s">
        <v>59</v>
      </c>
      <c r="F13" s="4" t="s">
        <v>60</v>
      </c>
      <c r="G13" s="4" t="s">
        <v>61</v>
      </c>
      <c r="H13" s="4" t="s">
        <v>62</v>
      </c>
      <c r="I13" s="19">
        <v>38413</v>
      </c>
      <c r="J13" s="13">
        <v>2</v>
      </c>
      <c r="K13" s="13">
        <v>3</v>
      </c>
      <c r="L13" s="20">
        <v>2005</v>
      </c>
      <c r="M13" s="4" t="s">
        <v>56</v>
      </c>
      <c r="N13" s="4">
        <v>36292</v>
      </c>
      <c r="O13" s="4" t="s">
        <v>31</v>
      </c>
      <c r="P13" s="5">
        <v>50850</v>
      </c>
      <c r="Q13" s="564">
        <v>2</v>
      </c>
      <c r="R13" s="564"/>
      <c r="S13" s="52">
        <v>3</v>
      </c>
      <c r="T13" s="5">
        <v>0</v>
      </c>
      <c r="U13" s="15">
        <v>50849.000000000007</v>
      </c>
      <c r="V13" s="15">
        <v>50849.000000000007</v>
      </c>
      <c r="W13" s="15">
        <f t="shared" si="1"/>
        <v>0</v>
      </c>
      <c r="X13" s="15">
        <v>1</v>
      </c>
      <c r="Y13" s="7">
        <v>6101</v>
      </c>
      <c r="Z13" s="7"/>
      <c r="AA13" s="7"/>
      <c r="AB13" s="67">
        <f t="shared" si="2"/>
        <v>36</v>
      </c>
    </row>
    <row r="14" spans="1:29" s="559" customFormat="1" x14ac:dyDescent="0.25">
      <c r="A14" s="12" t="s">
        <v>63</v>
      </c>
      <c r="B14" s="12" t="s">
        <v>64</v>
      </c>
      <c r="C14" s="4" t="s">
        <v>65</v>
      </c>
      <c r="D14" s="4" t="s">
        <v>66</v>
      </c>
      <c r="E14" s="4" t="s">
        <v>34</v>
      </c>
      <c r="F14" s="4" t="s">
        <v>67</v>
      </c>
      <c r="G14" s="4" t="s">
        <v>68</v>
      </c>
      <c r="H14" s="4"/>
      <c r="I14" s="4"/>
      <c r="J14" s="13"/>
      <c r="K14" s="13">
        <v>3</v>
      </c>
      <c r="L14" s="20">
        <v>2005</v>
      </c>
      <c r="M14" s="4"/>
      <c r="N14" s="4"/>
      <c r="O14" s="4" t="s">
        <v>31</v>
      </c>
      <c r="P14" s="5">
        <v>1</v>
      </c>
      <c r="Q14" s="564">
        <v>2</v>
      </c>
      <c r="R14" s="564"/>
      <c r="S14" s="52">
        <v>3</v>
      </c>
      <c r="T14" s="5">
        <f t="shared" si="0"/>
        <v>0</v>
      </c>
      <c r="U14" s="15">
        <v>0</v>
      </c>
      <c r="V14" s="15">
        <v>0</v>
      </c>
      <c r="W14" s="15">
        <f t="shared" si="1"/>
        <v>0</v>
      </c>
      <c r="X14" s="15">
        <f>P14-V14</f>
        <v>1</v>
      </c>
      <c r="Y14" s="7"/>
      <c r="Z14" s="7"/>
      <c r="AA14" s="7"/>
      <c r="AB14" s="67">
        <f t="shared" si="2"/>
        <v>36</v>
      </c>
    </row>
    <row r="15" spans="1:29" s="633" customFormat="1" x14ac:dyDescent="0.25">
      <c r="A15" s="624" t="s">
        <v>69</v>
      </c>
      <c r="B15" s="624"/>
      <c r="C15" s="624"/>
      <c r="D15" s="624" t="s">
        <v>70</v>
      </c>
      <c r="E15" s="624" t="s">
        <v>39</v>
      </c>
      <c r="F15" s="624" t="s">
        <v>71</v>
      </c>
      <c r="G15" s="624" t="s">
        <v>72</v>
      </c>
      <c r="H15" s="624" t="s">
        <v>62</v>
      </c>
      <c r="I15" s="639">
        <v>38371</v>
      </c>
      <c r="J15" s="626">
        <v>19</v>
      </c>
      <c r="K15" s="626">
        <v>1</v>
      </c>
      <c r="L15" s="628">
        <v>2005</v>
      </c>
      <c r="M15" s="624" t="s">
        <v>56</v>
      </c>
      <c r="N15" s="624">
        <v>36108</v>
      </c>
      <c r="O15" s="624" t="s">
        <v>31</v>
      </c>
      <c r="P15" s="636">
        <v>1</v>
      </c>
      <c r="Q15" s="630">
        <v>2</v>
      </c>
      <c r="R15" s="630"/>
      <c r="S15" s="625">
        <v>3</v>
      </c>
      <c r="T15" s="631">
        <f t="shared" si="0"/>
        <v>0</v>
      </c>
      <c r="U15" s="632">
        <v>0</v>
      </c>
      <c r="V15" s="632">
        <v>0</v>
      </c>
      <c r="W15" s="632">
        <f t="shared" si="1"/>
        <v>0</v>
      </c>
      <c r="X15" s="632">
        <f>P15-V15</f>
        <v>1</v>
      </c>
      <c r="Y15" s="637"/>
      <c r="Z15" s="637"/>
      <c r="AA15" s="637"/>
      <c r="AB15" s="634">
        <f t="shared" si="2"/>
        <v>36</v>
      </c>
    </row>
    <row r="16" spans="1:29" s="559" customFormat="1" x14ac:dyDescent="0.25">
      <c r="A16" s="12" t="s">
        <v>73</v>
      </c>
      <c r="B16" s="12" t="s">
        <v>74</v>
      </c>
      <c r="C16" s="4" t="s">
        <v>75</v>
      </c>
      <c r="D16" s="4" t="s">
        <v>76</v>
      </c>
      <c r="E16" s="4" t="s">
        <v>77</v>
      </c>
      <c r="F16" s="4" t="s">
        <v>78</v>
      </c>
      <c r="G16" s="4" t="s">
        <v>79</v>
      </c>
      <c r="H16" s="4"/>
      <c r="I16" s="4"/>
      <c r="J16" s="13"/>
      <c r="K16" s="63">
        <v>1</v>
      </c>
      <c r="L16" s="64">
        <v>2005</v>
      </c>
      <c r="M16" s="4"/>
      <c r="N16" s="4"/>
      <c r="O16" s="4" t="s">
        <v>31</v>
      </c>
      <c r="P16" s="5">
        <v>1</v>
      </c>
      <c r="Q16" s="564">
        <v>2</v>
      </c>
      <c r="R16" s="564"/>
      <c r="S16" s="52">
        <v>3</v>
      </c>
      <c r="T16" s="5">
        <f t="shared" si="0"/>
        <v>0</v>
      </c>
      <c r="U16" s="15">
        <v>0</v>
      </c>
      <c r="V16" s="15">
        <v>0</v>
      </c>
      <c r="W16" s="15">
        <f t="shared" si="1"/>
        <v>0</v>
      </c>
      <c r="X16" s="15">
        <f>P16-V16</f>
        <v>1</v>
      </c>
      <c r="Y16" s="7"/>
      <c r="Z16" s="7"/>
      <c r="AA16" s="7"/>
      <c r="AB16" s="67">
        <f t="shared" si="2"/>
        <v>36</v>
      </c>
      <c r="AC16" s="16"/>
    </row>
    <row r="17" spans="1:30" s="559" customFormat="1" x14ac:dyDescent="0.25">
      <c r="A17" s="12" t="s">
        <v>80</v>
      </c>
      <c r="B17" s="12" t="s">
        <v>81</v>
      </c>
      <c r="C17" s="4"/>
      <c r="D17" s="4" t="s">
        <v>82</v>
      </c>
      <c r="E17" s="4" t="s">
        <v>83</v>
      </c>
      <c r="F17" s="4" t="s">
        <v>84</v>
      </c>
      <c r="G17" s="4" t="s">
        <v>85</v>
      </c>
      <c r="H17" s="4"/>
      <c r="I17" s="4"/>
      <c r="J17" s="13"/>
      <c r="K17" s="63">
        <v>1</v>
      </c>
      <c r="L17" s="64">
        <v>2005</v>
      </c>
      <c r="M17" s="4"/>
      <c r="N17" s="4"/>
      <c r="O17" s="4" t="s">
        <v>31</v>
      </c>
      <c r="P17" s="5">
        <v>1</v>
      </c>
      <c r="Q17" s="564">
        <v>2</v>
      </c>
      <c r="R17" s="564"/>
      <c r="S17" s="52">
        <v>3</v>
      </c>
      <c r="T17" s="5">
        <f t="shared" si="0"/>
        <v>0</v>
      </c>
      <c r="U17" s="15">
        <v>0</v>
      </c>
      <c r="V17" s="15">
        <v>0</v>
      </c>
      <c r="W17" s="15">
        <f t="shared" si="1"/>
        <v>0</v>
      </c>
      <c r="X17" s="15">
        <f>P17-V17</f>
        <v>1</v>
      </c>
      <c r="Y17" s="7"/>
      <c r="Z17" s="7"/>
      <c r="AA17" s="7"/>
      <c r="AB17" s="67">
        <f t="shared" si="2"/>
        <v>36</v>
      </c>
      <c r="AC17" s="16"/>
      <c r="AD17" s="16"/>
    </row>
    <row r="18" spans="1:30" s="571" customFormat="1" x14ac:dyDescent="0.25">
      <c r="A18" s="565" t="s">
        <v>86</v>
      </c>
      <c r="B18" s="565"/>
      <c r="C18" s="566"/>
      <c r="D18" s="566" t="s">
        <v>87</v>
      </c>
      <c r="E18" s="566" t="s">
        <v>28</v>
      </c>
      <c r="F18" s="566">
        <v>1315</v>
      </c>
      <c r="G18" s="566" t="s">
        <v>88</v>
      </c>
      <c r="H18" s="566" t="s">
        <v>62</v>
      </c>
      <c r="I18" s="567">
        <v>38400</v>
      </c>
      <c r="J18" s="568">
        <v>17</v>
      </c>
      <c r="K18" s="568">
        <v>2</v>
      </c>
      <c r="L18" s="569">
        <v>2005</v>
      </c>
      <c r="M18" s="566" t="s">
        <v>56</v>
      </c>
      <c r="N18" s="566">
        <v>36223</v>
      </c>
      <c r="O18" s="566" t="s">
        <v>31</v>
      </c>
      <c r="P18" s="570">
        <v>3760</v>
      </c>
      <c r="Q18" s="611">
        <v>2</v>
      </c>
      <c r="R18" s="611"/>
      <c r="S18" s="612">
        <v>3</v>
      </c>
      <c r="T18" s="570">
        <v>0</v>
      </c>
      <c r="U18" s="15">
        <v>3759</v>
      </c>
      <c r="V18" s="15">
        <v>3759</v>
      </c>
      <c r="W18" s="572">
        <f t="shared" si="1"/>
        <v>0</v>
      </c>
      <c r="X18" s="572">
        <v>1</v>
      </c>
      <c r="Y18" s="573">
        <v>5752</v>
      </c>
      <c r="Z18" s="573"/>
      <c r="AA18" s="573"/>
      <c r="AB18" s="67">
        <f t="shared" si="2"/>
        <v>36</v>
      </c>
      <c r="AC18" s="574"/>
    </row>
    <row r="19" spans="1:30" s="633" customFormat="1" x14ac:dyDescent="0.25">
      <c r="A19" s="624" t="s">
        <v>89</v>
      </c>
      <c r="B19" s="624"/>
      <c r="C19" s="624"/>
      <c r="D19" s="624" t="s">
        <v>90</v>
      </c>
      <c r="E19" s="624" t="s">
        <v>28</v>
      </c>
      <c r="F19" s="624">
        <v>5650</v>
      </c>
      <c r="G19" s="624" t="s">
        <v>91</v>
      </c>
      <c r="H19" s="624"/>
      <c r="I19" s="625"/>
      <c r="J19" s="626"/>
      <c r="K19" s="627">
        <v>2</v>
      </c>
      <c r="L19" s="635">
        <v>2005</v>
      </c>
      <c r="M19" s="624"/>
      <c r="N19" s="624"/>
      <c r="O19" s="624" t="s">
        <v>31</v>
      </c>
      <c r="P19" s="636">
        <v>1</v>
      </c>
      <c r="Q19" s="630">
        <v>2</v>
      </c>
      <c r="R19" s="630"/>
      <c r="S19" s="625">
        <v>3</v>
      </c>
      <c r="T19" s="631">
        <f t="shared" si="0"/>
        <v>0</v>
      </c>
      <c r="U19" s="632">
        <v>0</v>
      </c>
      <c r="V19" s="632">
        <v>0</v>
      </c>
      <c r="W19" s="632">
        <f t="shared" si="1"/>
        <v>0</v>
      </c>
      <c r="X19" s="632">
        <f>P19-V19</f>
        <v>1</v>
      </c>
      <c r="Y19" s="637"/>
      <c r="Z19" s="637"/>
      <c r="AA19" s="637"/>
      <c r="AB19" s="634">
        <f t="shared" si="2"/>
        <v>36</v>
      </c>
      <c r="AC19" s="638"/>
    </row>
    <row r="20" spans="1:30" s="633" customFormat="1" x14ac:dyDescent="0.25">
      <c r="A20" s="624" t="s">
        <v>92</v>
      </c>
      <c r="B20" s="624"/>
      <c r="C20" s="624"/>
      <c r="D20" s="624" t="s">
        <v>93</v>
      </c>
      <c r="E20" s="624" t="s">
        <v>94</v>
      </c>
      <c r="F20" s="624">
        <v>500</v>
      </c>
      <c r="G20" s="624" t="s">
        <v>95</v>
      </c>
      <c r="H20" s="624"/>
      <c r="I20" s="625"/>
      <c r="J20" s="626"/>
      <c r="K20" s="627">
        <v>2</v>
      </c>
      <c r="L20" s="635">
        <v>2005</v>
      </c>
      <c r="M20" s="624"/>
      <c r="N20" s="624"/>
      <c r="O20" s="624" t="s">
        <v>31</v>
      </c>
      <c r="P20" s="636">
        <v>1</v>
      </c>
      <c r="Q20" s="630">
        <v>2</v>
      </c>
      <c r="R20" s="630"/>
      <c r="S20" s="625">
        <v>3</v>
      </c>
      <c r="T20" s="631">
        <f t="shared" si="0"/>
        <v>0</v>
      </c>
      <c r="U20" s="632">
        <v>0</v>
      </c>
      <c r="V20" s="632">
        <v>0</v>
      </c>
      <c r="W20" s="632">
        <f t="shared" si="1"/>
        <v>0</v>
      </c>
      <c r="X20" s="632">
        <f>P20-V20</f>
        <v>1</v>
      </c>
      <c r="Y20" s="637"/>
      <c r="Z20" s="637"/>
      <c r="AA20" s="637"/>
      <c r="AB20" s="634">
        <f t="shared" si="2"/>
        <v>36</v>
      </c>
      <c r="AC20" s="638"/>
    </row>
    <row r="21" spans="1:30" s="633" customFormat="1" x14ac:dyDescent="0.25">
      <c r="A21" s="624" t="s">
        <v>96</v>
      </c>
      <c r="B21" s="624"/>
      <c r="C21" s="624"/>
      <c r="D21" s="624" t="s">
        <v>93</v>
      </c>
      <c r="E21" s="624" t="s">
        <v>97</v>
      </c>
      <c r="F21" s="624" t="s">
        <v>98</v>
      </c>
      <c r="G21" s="624" t="s">
        <v>99</v>
      </c>
      <c r="H21" s="624"/>
      <c r="I21" s="625"/>
      <c r="J21" s="626"/>
      <c r="K21" s="627">
        <v>2</v>
      </c>
      <c r="L21" s="635">
        <v>2005</v>
      </c>
      <c r="M21" s="624"/>
      <c r="N21" s="624"/>
      <c r="O21" s="624" t="s">
        <v>31</v>
      </c>
      <c r="P21" s="636">
        <v>1</v>
      </c>
      <c r="Q21" s="630">
        <v>2</v>
      </c>
      <c r="R21" s="630"/>
      <c r="S21" s="625">
        <v>3</v>
      </c>
      <c r="T21" s="631">
        <f t="shared" si="0"/>
        <v>0</v>
      </c>
      <c r="U21" s="632">
        <v>0</v>
      </c>
      <c r="V21" s="632">
        <v>0</v>
      </c>
      <c r="W21" s="632">
        <f t="shared" si="1"/>
        <v>0</v>
      </c>
      <c r="X21" s="632">
        <f>P21-V21</f>
        <v>1</v>
      </c>
      <c r="Y21" s="637"/>
      <c r="Z21" s="637"/>
      <c r="AA21" s="637"/>
      <c r="AB21" s="634">
        <f t="shared" si="2"/>
        <v>36</v>
      </c>
      <c r="AC21" s="638"/>
    </row>
    <row r="22" spans="1:30" x14ac:dyDescent="0.25">
      <c r="A22" s="12" t="s">
        <v>100</v>
      </c>
      <c r="B22" s="12" t="s">
        <v>101</v>
      </c>
      <c r="C22" s="4" t="s">
        <v>102</v>
      </c>
      <c r="D22" s="4" t="s">
        <v>103</v>
      </c>
      <c r="E22" s="4" t="s">
        <v>104</v>
      </c>
      <c r="F22" s="4" t="s">
        <v>105</v>
      </c>
      <c r="G22" s="4" t="s">
        <v>106</v>
      </c>
      <c r="H22" s="4" t="s">
        <v>107</v>
      </c>
      <c r="I22" s="19">
        <v>37764</v>
      </c>
      <c r="J22" s="13">
        <v>23</v>
      </c>
      <c r="K22" s="13">
        <v>5</v>
      </c>
      <c r="L22" s="20">
        <v>2003</v>
      </c>
      <c r="M22" s="4" t="s">
        <v>56</v>
      </c>
      <c r="N22" s="4">
        <v>11994</v>
      </c>
      <c r="O22" s="4" t="s">
        <v>31</v>
      </c>
      <c r="P22" s="5">
        <v>59000</v>
      </c>
      <c r="Q22" s="564">
        <v>2</v>
      </c>
      <c r="R22" s="564"/>
      <c r="S22" s="52">
        <v>3</v>
      </c>
      <c r="T22" s="5">
        <v>0</v>
      </c>
      <c r="U22" s="15">
        <v>58999</v>
      </c>
      <c r="V22" s="15">
        <v>58999</v>
      </c>
      <c r="W22" s="15">
        <f t="shared" si="1"/>
        <v>0</v>
      </c>
      <c r="X22" s="15">
        <v>1</v>
      </c>
      <c r="Y22" s="7">
        <v>1558</v>
      </c>
      <c r="AB22" s="67">
        <f t="shared" si="2"/>
        <v>36</v>
      </c>
    </row>
    <row r="23" spans="1:30" x14ac:dyDescent="0.25">
      <c r="A23" s="12" t="s">
        <v>108</v>
      </c>
      <c r="B23" s="12" t="s">
        <v>109</v>
      </c>
      <c r="C23" s="4" t="s">
        <v>110</v>
      </c>
      <c r="D23" s="4" t="s">
        <v>111</v>
      </c>
      <c r="E23" s="4" t="s">
        <v>28</v>
      </c>
      <c r="F23" s="4" t="s">
        <v>112</v>
      </c>
      <c r="G23" s="4" t="s">
        <v>113</v>
      </c>
      <c r="K23" s="13">
        <v>5</v>
      </c>
      <c r="L23" s="20">
        <v>2003</v>
      </c>
      <c r="O23" s="4" t="s">
        <v>31</v>
      </c>
      <c r="P23" s="5">
        <v>1</v>
      </c>
      <c r="Q23" s="564">
        <v>2</v>
      </c>
      <c r="R23" s="564"/>
      <c r="S23" s="52">
        <v>3</v>
      </c>
      <c r="T23" s="5">
        <f t="shared" si="0"/>
        <v>0</v>
      </c>
      <c r="U23" s="15">
        <v>0</v>
      </c>
      <c r="V23" s="15">
        <v>0</v>
      </c>
      <c r="W23" s="15">
        <f t="shared" si="1"/>
        <v>0</v>
      </c>
      <c r="X23" s="15">
        <f t="shared" ref="X23:X28" si="3">P23-V23</f>
        <v>1</v>
      </c>
      <c r="AB23" s="67">
        <f t="shared" si="2"/>
        <v>36</v>
      </c>
    </row>
    <row r="24" spans="1:30" x14ac:dyDescent="0.25">
      <c r="A24" s="12" t="s">
        <v>114</v>
      </c>
      <c r="B24" s="12" t="s">
        <v>115</v>
      </c>
      <c r="C24" s="4" t="s">
        <v>116</v>
      </c>
      <c r="D24" s="4" t="s">
        <v>93</v>
      </c>
      <c r="E24" s="4" t="s">
        <v>44</v>
      </c>
      <c r="F24" s="4" t="s">
        <v>117</v>
      </c>
      <c r="G24" s="4" t="s">
        <v>118</v>
      </c>
      <c r="K24" s="13">
        <v>5</v>
      </c>
      <c r="L24" s="20">
        <v>2003</v>
      </c>
      <c r="O24" s="4" t="s">
        <v>31</v>
      </c>
      <c r="P24" s="5">
        <v>1</v>
      </c>
      <c r="Q24" s="564">
        <v>2</v>
      </c>
      <c r="R24" s="564"/>
      <c r="S24" s="52">
        <v>3</v>
      </c>
      <c r="T24" s="5">
        <f t="shared" si="0"/>
        <v>0</v>
      </c>
      <c r="U24" s="15">
        <v>0</v>
      </c>
      <c r="V24" s="15">
        <v>0</v>
      </c>
      <c r="W24" s="15">
        <f t="shared" si="1"/>
        <v>0</v>
      </c>
      <c r="X24" s="15">
        <f t="shared" si="3"/>
        <v>1</v>
      </c>
      <c r="AB24" s="67">
        <f t="shared" si="2"/>
        <v>36</v>
      </c>
      <c r="AC24" s="16"/>
    </row>
    <row r="25" spans="1:30" x14ac:dyDescent="0.25">
      <c r="A25" s="40" t="s">
        <v>119</v>
      </c>
      <c r="B25" s="40"/>
      <c r="C25" s="40"/>
      <c r="D25" s="40" t="s">
        <v>120</v>
      </c>
      <c r="E25" s="40" t="s">
        <v>28</v>
      </c>
      <c r="F25" s="40" t="s">
        <v>121</v>
      </c>
      <c r="G25" s="40" t="s">
        <v>122</v>
      </c>
      <c r="H25" s="40"/>
      <c r="I25" s="52"/>
      <c r="J25" s="63"/>
      <c r="K25" s="13">
        <v>5</v>
      </c>
      <c r="L25" s="20">
        <v>2003</v>
      </c>
      <c r="M25" s="40"/>
      <c r="N25" s="40"/>
      <c r="O25" s="40" t="s">
        <v>31</v>
      </c>
      <c r="P25" s="30">
        <v>1</v>
      </c>
      <c r="Q25" s="564">
        <v>2</v>
      </c>
      <c r="R25" s="40"/>
      <c r="S25" s="52">
        <v>3</v>
      </c>
      <c r="T25" s="5">
        <f t="shared" si="0"/>
        <v>0</v>
      </c>
      <c r="U25" s="15">
        <v>0</v>
      </c>
      <c r="V25" s="15">
        <v>0</v>
      </c>
      <c r="W25" s="15">
        <f t="shared" si="1"/>
        <v>0</v>
      </c>
      <c r="X25" s="15">
        <f t="shared" si="3"/>
        <v>1</v>
      </c>
      <c r="AB25" s="67">
        <f t="shared" si="2"/>
        <v>36</v>
      </c>
      <c r="AC25" s="16"/>
    </row>
    <row r="26" spans="1:30" s="637" customFormat="1" x14ac:dyDescent="0.25">
      <c r="A26" s="624" t="s">
        <v>123</v>
      </c>
      <c r="B26" s="624"/>
      <c r="C26" s="624"/>
      <c r="D26" s="624" t="s">
        <v>90</v>
      </c>
      <c r="E26" s="624" t="s">
        <v>28</v>
      </c>
      <c r="F26" s="624" t="s">
        <v>124</v>
      </c>
      <c r="G26" s="624" t="s">
        <v>125</v>
      </c>
      <c r="H26" s="624"/>
      <c r="I26" s="625"/>
      <c r="J26" s="626"/>
      <c r="K26" s="627">
        <v>5</v>
      </c>
      <c r="L26" s="635">
        <v>2003</v>
      </c>
      <c r="M26" s="624"/>
      <c r="N26" s="624"/>
      <c r="O26" s="624" t="s">
        <v>31</v>
      </c>
      <c r="P26" s="636">
        <v>1</v>
      </c>
      <c r="Q26" s="630">
        <v>2</v>
      </c>
      <c r="R26" s="624" t="s">
        <v>126</v>
      </c>
      <c r="S26" s="625">
        <v>3</v>
      </c>
      <c r="T26" s="631">
        <f t="shared" si="0"/>
        <v>0</v>
      </c>
      <c r="U26" s="632">
        <v>0</v>
      </c>
      <c r="V26" s="632">
        <v>0</v>
      </c>
      <c r="W26" s="632">
        <f t="shared" si="1"/>
        <v>0</v>
      </c>
      <c r="X26" s="632">
        <f t="shared" si="3"/>
        <v>1</v>
      </c>
      <c r="AB26" s="634">
        <f t="shared" si="2"/>
        <v>36</v>
      </c>
      <c r="AC26" s="638"/>
    </row>
    <row r="27" spans="1:30" s="637" customFormat="1" x14ac:dyDescent="0.25">
      <c r="A27" s="624" t="s">
        <v>127</v>
      </c>
      <c r="B27" s="624"/>
      <c r="C27" s="624"/>
      <c r="D27" s="624" t="s">
        <v>128</v>
      </c>
      <c r="E27" s="624" t="s">
        <v>83</v>
      </c>
      <c r="F27" s="624" t="s">
        <v>129</v>
      </c>
      <c r="G27" s="624" t="s">
        <v>130</v>
      </c>
      <c r="H27" s="624"/>
      <c r="I27" s="625"/>
      <c r="J27" s="626"/>
      <c r="K27" s="627">
        <v>5</v>
      </c>
      <c r="L27" s="635">
        <v>2003</v>
      </c>
      <c r="M27" s="624"/>
      <c r="N27" s="624"/>
      <c r="O27" s="624" t="s">
        <v>31</v>
      </c>
      <c r="P27" s="636">
        <v>1</v>
      </c>
      <c r="Q27" s="630">
        <v>2</v>
      </c>
      <c r="R27" s="624"/>
      <c r="S27" s="625">
        <v>3</v>
      </c>
      <c r="T27" s="631">
        <f t="shared" si="0"/>
        <v>0</v>
      </c>
      <c r="U27" s="632">
        <v>0</v>
      </c>
      <c r="V27" s="632">
        <v>0</v>
      </c>
      <c r="W27" s="632">
        <f t="shared" si="1"/>
        <v>0</v>
      </c>
      <c r="X27" s="632">
        <f t="shared" si="3"/>
        <v>1</v>
      </c>
      <c r="AB27" s="634">
        <f t="shared" si="2"/>
        <v>36</v>
      </c>
      <c r="AC27" s="638"/>
    </row>
    <row r="28" spans="1:30" s="637" customFormat="1" x14ac:dyDescent="0.25">
      <c r="A28" s="624" t="s">
        <v>131</v>
      </c>
      <c r="B28" s="624"/>
      <c r="C28" s="624"/>
      <c r="D28" s="624" t="s">
        <v>132</v>
      </c>
      <c r="E28" s="624" t="s">
        <v>133</v>
      </c>
      <c r="F28" s="624" t="s">
        <v>134</v>
      </c>
      <c r="G28" s="624"/>
      <c r="H28" s="624"/>
      <c r="I28" s="639"/>
      <c r="J28" s="626"/>
      <c r="K28" s="627">
        <v>5</v>
      </c>
      <c r="L28" s="635">
        <v>2003</v>
      </c>
      <c r="M28" s="624"/>
      <c r="N28" s="624"/>
      <c r="O28" s="624" t="s">
        <v>31</v>
      </c>
      <c r="P28" s="629">
        <v>1</v>
      </c>
      <c r="Q28" s="630">
        <v>2</v>
      </c>
      <c r="R28" s="630"/>
      <c r="S28" s="625">
        <v>3</v>
      </c>
      <c r="T28" s="631">
        <f t="shared" si="0"/>
        <v>0</v>
      </c>
      <c r="U28" s="632">
        <v>0</v>
      </c>
      <c r="V28" s="632">
        <v>0</v>
      </c>
      <c r="W28" s="632">
        <f t="shared" si="1"/>
        <v>0</v>
      </c>
      <c r="X28" s="632">
        <f t="shared" si="3"/>
        <v>1</v>
      </c>
      <c r="AB28" s="634">
        <f t="shared" si="2"/>
        <v>36</v>
      </c>
      <c r="AC28" s="638"/>
    </row>
    <row r="29" spans="1:30" x14ac:dyDescent="0.25">
      <c r="A29" s="12" t="s">
        <v>135</v>
      </c>
      <c r="B29" s="12">
        <v>336</v>
      </c>
      <c r="C29" s="4" t="s">
        <v>65</v>
      </c>
      <c r="D29" s="4" t="s">
        <v>136</v>
      </c>
      <c r="E29" s="4" t="s">
        <v>83</v>
      </c>
      <c r="F29" s="4" t="s">
        <v>137</v>
      </c>
      <c r="G29" s="4" t="s">
        <v>138</v>
      </c>
      <c r="H29" s="4" t="s">
        <v>139</v>
      </c>
      <c r="I29" s="19">
        <v>39072</v>
      </c>
      <c r="J29" s="13">
        <v>21</v>
      </c>
      <c r="K29" s="13">
        <v>12</v>
      </c>
      <c r="L29" s="20">
        <v>2006</v>
      </c>
      <c r="M29" s="4" t="s">
        <v>56</v>
      </c>
      <c r="N29" s="4">
        <v>30324</v>
      </c>
      <c r="O29" s="4" t="s">
        <v>31</v>
      </c>
      <c r="P29" s="5">
        <v>7537.16</v>
      </c>
      <c r="Q29" s="564">
        <v>2</v>
      </c>
      <c r="R29" s="564"/>
      <c r="S29" s="52">
        <v>3</v>
      </c>
      <c r="T29" s="5">
        <v>0</v>
      </c>
      <c r="U29" s="15">
        <v>7536.16</v>
      </c>
      <c r="V29" s="15">
        <v>7536.16</v>
      </c>
      <c r="W29" s="15">
        <f t="shared" si="1"/>
        <v>0</v>
      </c>
      <c r="X29" s="15">
        <v>1</v>
      </c>
      <c r="Y29" s="7">
        <v>9065</v>
      </c>
      <c r="AB29" s="67">
        <f t="shared" si="2"/>
        <v>36</v>
      </c>
    </row>
    <row r="30" spans="1:30" s="637" customFormat="1" x14ac:dyDescent="0.25">
      <c r="A30" s="624" t="s">
        <v>140</v>
      </c>
      <c r="B30" s="624"/>
      <c r="C30" s="624"/>
      <c r="D30" s="624" t="s">
        <v>141</v>
      </c>
      <c r="E30" s="624" t="s">
        <v>28</v>
      </c>
      <c r="F30" s="624" t="s">
        <v>142</v>
      </c>
      <c r="G30" s="624" t="s">
        <v>143</v>
      </c>
      <c r="H30" s="624" t="s">
        <v>139</v>
      </c>
      <c r="I30" s="639">
        <v>39072</v>
      </c>
      <c r="J30" s="626">
        <v>21</v>
      </c>
      <c r="K30" s="626">
        <v>12</v>
      </c>
      <c r="L30" s="628">
        <v>2006</v>
      </c>
      <c r="M30" s="624" t="s">
        <v>56</v>
      </c>
      <c r="N30" s="624">
        <v>30324</v>
      </c>
      <c r="O30" s="624" t="s">
        <v>31</v>
      </c>
      <c r="P30" s="636">
        <v>3316.16</v>
      </c>
      <c r="Q30" s="630">
        <v>2</v>
      </c>
      <c r="R30" s="630"/>
      <c r="S30" s="625">
        <v>3</v>
      </c>
      <c r="T30" s="631">
        <v>0</v>
      </c>
      <c r="U30" s="632">
        <v>3315.16</v>
      </c>
      <c r="V30" s="632">
        <v>3315.16</v>
      </c>
      <c r="W30" s="632">
        <f t="shared" si="1"/>
        <v>0</v>
      </c>
      <c r="X30" s="632">
        <v>1</v>
      </c>
      <c r="AB30" s="634">
        <f t="shared" si="2"/>
        <v>36</v>
      </c>
    </row>
    <row r="31" spans="1:30" x14ac:dyDescent="0.25">
      <c r="A31" s="12" t="s">
        <v>144</v>
      </c>
      <c r="B31" s="12"/>
      <c r="D31" s="4" t="s">
        <v>136</v>
      </c>
      <c r="E31" s="4" t="s">
        <v>39</v>
      </c>
      <c r="G31" s="4" t="s">
        <v>145</v>
      </c>
      <c r="H31" s="4" t="s">
        <v>139</v>
      </c>
      <c r="I31" s="19">
        <v>39072</v>
      </c>
      <c r="J31" s="13">
        <v>21</v>
      </c>
      <c r="K31" s="13">
        <v>12</v>
      </c>
      <c r="L31" s="20">
        <v>2006</v>
      </c>
      <c r="M31" s="4" t="s">
        <v>56</v>
      </c>
      <c r="N31" s="4">
        <v>30324</v>
      </c>
      <c r="O31" s="4" t="s">
        <v>31</v>
      </c>
      <c r="P31" s="5">
        <v>7537.16</v>
      </c>
      <c r="Q31" s="564">
        <v>2</v>
      </c>
      <c r="R31" s="564"/>
      <c r="S31" s="52">
        <v>3</v>
      </c>
      <c r="T31" s="5">
        <v>0</v>
      </c>
      <c r="U31" s="15">
        <v>7536.16</v>
      </c>
      <c r="V31" s="15">
        <v>7536.16</v>
      </c>
      <c r="W31" s="15">
        <f t="shared" si="1"/>
        <v>0</v>
      </c>
      <c r="X31" s="15">
        <v>1</v>
      </c>
      <c r="Y31" s="7">
        <v>9065</v>
      </c>
      <c r="AB31" s="67">
        <f t="shared" si="2"/>
        <v>36</v>
      </c>
    </row>
    <row r="32" spans="1:30" x14ac:dyDescent="0.25">
      <c r="A32" s="12" t="s">
        <v>146</v>
      </c>
      <c r="B32" s="12"/>
      <c r="D32" s="4" t="s">
        <v>136</v>
      </c>
      <c r="E32" s="4" t="s">
        <v>39</v>
      </c>
      <c r="G32" s="4" t="s">
        <v>145</v>
      </c>
      <c r="H32" s="4" t="s">
        <v>139</v>
      </c>
      <c r="I32" s="19">
        <v>39072</v>
      </c>
      <c r="J32" s="13">
        <v>21</v>
      </c>
      <c r="K32" s="13">
        <v>12</v>
      </c>
      <c r="L32" s="20">
        <v>2006</v>
      </c>
      <c r="M32" s="4" t="s">
        <v>56</v>
      </c>
      <c r="N32" s="4">
        <v>30324</v>
      </c>
      <c r="O32" s="4" t="s">
        <v>31</v>
      </c>
      <c r="P32" s="5">
        <v>7537.16</v>
      </c>
      <c r="Q32" s="564">
        <v>2</v>
      </c>
      <c r="R32" s="564"/>
      <c r="S32" s="52">
        <v>3</v>
      </c>
      <c r="T32" s="5">
        <v>0</v>
      </c>
      <c r="U32" s="15">
        <v>7536.16</v>
      </c>
      <c r="V32" s="15">
        <v>7536.16</v>
      </c>
      <c r="W32" s="15">
        <f t="shared" si="1"/>
        <v>0</v>
      </c>
      <c r="X32" s="15">
        <v>1</v>
      </c>
      <c r="Y32" s="7">
        <v>9065</v>
      </c>
      <c r="AB32" s="67">
        <f t="shared" si="2"/>
        <v>36</v>
      </c>
    </row>
    <row r="33" spans="1:29" s="576" customFormat="1" ht="15.75" customHeight="1" x14ac:dyDescent="0.25">
      <c r="A33" s="12" t="s">
        <v>147</v>
      </c>
      <c r="B33" s="12"/>
      <c r="C33" s="4"/>
      <c r="D33" s="4" t="s">
        <v>136</v>
      </c>
      <c r="E33" s="4" t="s">
        <v>39</v>
      </c>
      <c r="F33" s="4"/>
      <c r="G33" s="4" t="s">
        <v>145</v>
      </c>
      <c r="H33" s="4" t="s">
        <v>139</v>
      </c>
      <c r="I33" s="19">
        <v>39072</v>
      </c>
      <c r="J33" s="13">
        <v>21</v>
      </c>
      <c r="K33" s="13">
        <v>12</v>
      </c>
      <c r="L33" s="20">
        <v>2006</v>
      </c>
      <c r="M33" s="4" t="s">
        <v>56</v>
      </c>
      <c r="N33" s="4">
        <v>30324</v>
      </c>
      <c r="O33" s="4" t="s">
        <v>31</v>
      </c>
      <c r="P33" s="5">
        <v>7537.16</v>
      </c>
      <c r="Q33" s="564">
        <v>2</v>
      </c>
      <c r="R33" s="564"/>
      <c r="S33" s="52">
        <v>3</v>
      </c>
      <c r="T33" s="5">
        <v>0</v>
      </c>
      <c r="U33" s="15">
        <v>7536.16</v>
      </c>
      <c r="V33" s="15">
        <v>7536.16</v>
      </c>
      <c r="W33" s="15">
        <f t="shared" si="1"/>
        <v>0</v>
      </c>
      <c r="X33" s="15">
        <v>1</v>
      </c>
      <c r="Y33" s="576">
        <v>9065</v>
      </c>
      <c r="AB33" s="67">
        <f t="shared" si="2"/>
        <v>36</v>
      </c>
      <c r="AC33" s="16"/>
    </row>
    <row r="34" spans="1:29" x14ac:dyDescent="0.25">
      <c r="A34" s="12" t="s">
        <v>148</v>
      </c>
      <c r="B34" s="12"/>
      <c r="D34" s="4" t="s">
        <v>136</v>
      </c>
      <c r="E34" s="4" t="s">
        <v>39</v>
      </c>
      <c r="G34" s="4" t="s">
        <v>145</v>
      </c>
      <c r="H34" s="4" t="s">
        <v>139</v>
      </c>
      <c r="I34" s="19">
        <v>39072</v>
      </c>
      <c r="J34" s="13">
        <v>21</v>
      </c>
      <c r="K34" s="13">
        <v>12</v>
      </c>
      <c r="L34" s="20">
        <v>2006</v>
      </c>
      <c r="M34" s="4" t="s">
        <v>56</v>
      </c>
      <c r="N34" s="4">
        <v>30324</v>
      </c>
      <c r="O34" s="4" t="s">
        <v>31</v>
      </c>
      <c r="P34" s="5">
        <v>7537.16</v>
      </c>
      <c r="Q34" s="564">
        <v>2</v>
      </c>
      <c r="R34" s="564"/>
      <c r="S34" s="52">
        <v>3</v>
      </c>
      <c r="T34" s="5">
        <v>0</v>
      </c>
      <c r="U34" s="15">
        <v>7536.16</v>
      </c>
      <c r="V34" s="15">
        <v>7536.16</v>
      </c>
      <c r="W34" s="15">
        <f t="shared" si="1"/>
        <v>0</v>
      </c>
      <c r="X34" s="15">
        <v>1</v>
      </c>
      <c r="Y34" s="7">
        <v>9065</v>
      </c>
      <c r="AB34" s="67">
        <f t="shared" si="2"/>
        <v>36</v>
      </c>
    </row>
    <row r="35" spans="1:29" x14ac:dyDescent="0.25">
      <c r="A35" s="12" t="s">
        <v>149</v>
      </c>
      <c r="B35" s="12"/>
      <c r="D35" s="4" t="s">
        <v>136</v>
      </c>
      <c r="E35" s="4" t="s">
        <v>39</v>
      </c>
      <c r="G35" s="4" t="s">
        <v>150</v>
      </c>
      <c r="H35" s="4" t="s">
        <v>139</v>
      </c>
      <c r="I35" s="19">
        <v>39072</v>
      </c>
      <c r="J35" s="13">
        <v>21</v>
      </c>
      <c r="K35" s="13">
        <v>12</v>
      </c>
      <c r="L35" s="20">
        <v>2006</v>
      </c>
      <c r="M35" s="4" t="s">
        <v>56</v>
      </c>
      <c r="N35" s="4">
        <v>30324</v>
      </c>
      <c r="O35" s="4" t="s">
        <v>31</v>
      </c>
      <c r="P35" s="14">
        <v>7537.16</v>
      </c>
      <c r="Q35" s="564">
        <v>2</v>
      </c>
      <c r="R35" s="564"/>
      <c r="S35" s="52">
        <v>3</v>
      </c>
      <c r="T35" s="5">
        <v>0</v>
      </c>
      <c r="U35" s="15">
        <v>7536.16</v>
      </c>
      <c r="V35" s="15">
        <v>7536.16</v>
      </c>
      <c r="W35" s="15">
        <f t="shared" si="1"/>
        <v>0</v>
      </c>
      <c r="X35" s="15">
        <v>1</v>
      </c>
      <c r="Y35" s="7">
        <v>9065</v>
      </c>
      <c r="AB35" s="67">
        <f t="shared" si="2"/>
        <v>36</v>
      </c>
      <c r="AC35" s="16"/>
    </row>
    <row r="36" spans="1:29" x14ac:dyDescent="0.25">
      <c r="A36" s="12" t="s">
        <v>151</v>
      </c>
      <c r="B36" s="12" t="s">
        <v>152</v>
      </c>
      <c r="C36" s="4" t="s">
        <v>153</v>
      </c>
      <c r="D36" s="4" t="s">
        <v>154</v>
      </c>
      <c r="E36" s="4" t="s">
        <v>83</v>
      </c>
      <c r="F36" s="4" t="s">
        <v>155</v>
      </c>
      <c r="G36" s="4" t="s">
        <v>156</v>
      </c>
      <c r="H36" s="4" t="s">
        <v>62</v>
      </c>
      <c r="I36" s="19">
        <v>39072</v>
      </c>
      <c r="J36" s="13">
        <v>21</v>
      </c>
      <c r="K36" s="13">
        <v>12</v>
      </c>
      <c r="L36" s="20">
        <v>2006</v>
      </c>
      <c r="M36" s="4" t="s">
        <v>56</v>
      </c>
      <c r="N36" s="4">
        <v>38356</v>
      </c>
      <c r="O36" s="4" t="s">
        <v>31</v>
      </c>
      <c r="P36" s="14">
        <v>35944.92</v>
      </c>
      <c r="Q36" s="564">
        <v>2</v>
      </c>
      <c r="R36" s="564"/>
      <c r="S36" s="52">
        <v>3</v>
      </c>
      <c r="T36" s="5">
        <v>0</v>
      </c>
      <c r="U36" s="15">
        <v>35943.919999999998</v>
      </c>
      <c r="V36" s="15">
        <v>35943.919999999998</v>
      </c>
      <c r="W36" s="15">
        <f t="shared" si="1"/>
        <v>0</v>
      </c>
      <c r="X36" s="15">
        <v>1</v>
      </c>
      <c r="Y36" s="559">
        <v>9073</v>
      </c>
      <c r="Z36" s="559"/>
      <c r="AA36" s="559"/>
      <c r="AB36" s="67">
        <f t="shared" si="2"/>
        <v>36</v>
      </c>
    </row>
    <row r="37" spans="1:29" x14ac:dyDescent="0.25">
      <c r="A37" s="12" t="s">
        <v>157</v>
      </c>
      <c r="B37" s="12" t="s">
        <v>158</v>
      </c>
      <c r="D37" s="4" t="s">
        <v>159</v>
      </c>
      <c r="E37" s="4" t="s">
        <v>160</v>
      </c>
      <c r="F37" s="4" t="s">
        <v>161</v>
      </c>
      <c r="G37" s="4" t="s">
        <v>162</v>
      </c>
      <c r="H37" s="4" t="s">
        <v>55</v>
      </c>
      <c r="I37" s="19">
        <v>38754</v>
      </c>
      <c r="J37" s="13">
        <v>6</v>
      </c>
      <c r="K37" s="13">
        <v>2</v>
      </c>
      <c r="L37" s="20">
        <v>2006</v>
      </c>
      <c r="M37" s="4" t="s">
        <v>56</v>
      </c>
      <c r="N37" s="4">
        <v>13815</v>
      </c>
      <c r="O37" s="4" t="s">
        <v>31</v>
      </c>
      <c r="P37" s="5">
        <v>2635</v>
      </c>
      <c r="Q37" s="564">
        <v>2</v>
      </c>
      <c r="R37" s="564"/>
      <c r="S37" s="52">
        <v>3</v>
      </c>
      <c r="T37" s="5">
        <v>0</v>
      </c>
      <c r="U37" s="15">
        <v>2634</v>
      </c>
      <c r="V37" s="15">
        <v>2634</v>
      </c>
      <c r="W37" s="15">
        <f t="shared" si="1"/>
        <v>0</v>
      </c>
      <c r="X37" s="15">
        <v>1</v>
      </c>
      <c r="Y37" s="7">
        <v>7849</v>
      </c>
      <c r="AB37" s="67">
        <f t="shared" si="2"/>
        <v>36</v>
      </c>
      <c r="AC37" s="16"/>
    </row>
    <row r="38" spans="1:29" x14ac:dyDescent="0.25">
      <c r="A38" s="12" t="s">
        <v>163</v>
      </c>
      <c r="B38" s="12" t="s">
        <v>164</v>
      </c>
      <c r="C38" s="4" t="s">
        <v>165</v>
      </c>
      <c r="D38" s="4" t="s">
        <v>103</v>
      </c>
      <c r="E38" s="4" t="s">
        <v>166</v>
      </c>
      <c r="F38" s="4" t="s">
        <v>167</v>
      </c>
      <c r="G38" s="4" t="s">
        <v>168</v>
      </c>
      <c r="H38" s="4" t="s">
        <v>55</v>
      </c>
      <c r="I38" s="19">
        <v>38754</v>
      </c>
      <c r="J38" s="13">
        <v>6</v>
      </c>
      <c r="K38" s="13">
        <v>2</v>
      </c>
      <c r="L38" s="20">
        <v>2006</v>
      </c>
      <c r="M38" s="4" t="s">
        <v>56</v>
      </c>
      <c r="N38" s="4">
        <v>13873</v>
      </c>
      <c r="O38" s="4" t="s">
        <v>31</v>
      </c>
      <c r="P38" s="5">
        <v>84007.2</v>
      </c>
      <c r="Q38" s="564">
        <v>2</v>
      </c>
      <c r="R38" s="564"/>
      <c r="S38" s="52">
        <v>3</v>
      </c>
      <c r="T38" s="5">
        <v>0</v>
      </c>
      <c r="U38" s="15">
        <v>84006.2</v>
      </c>
      <c r="V38" s="15">
        <v>84006.2</v>
      </c>
      <c r="W38" s="15">
        <f t="shared" si="1"/>
        <v>0</v>
      </c>
      <c r="X38" s="15">
        <v>1</v>
      </c>
      <c r="Y38" s="7">
        <v>7849</v>
      </c>
      <c r="AB38" s="67">
        <f t="shared" si="2"/>
        <v>36</v>
      </c>
      <c r="AC38" s="16"/>
    </row>
    <row r="39" spans="1:29" x14ac:dyDescent="0.25">
      <c r="A39" s="12" t="s">
        <v>169</v>
      </c>
      <c r="B39" s="12">
        <v>560</v>
      </c>
      <c r="C39" s="4" t="s">
        <v>170</v>
      </c>
      <c r="D39" s="4" t="s">
        <v>171</v>
      </c>
      <c r="E39" s="4" t="s">
        <v>94</v>
      </c>
      <c r="F39" s="4" t="s">
        <v>172</v>
      </c>
      <c r="G39" s="4" t="s">
        <v>173</v>
      </c>
      <c r="H39" s="4" t="s">
        <v>139</v>
      </c>
      <c r="I39" s="19">
        <v>38785</v>
      </c>
      <c r="J39" s="13">
        <v>9</v>
      </c>
      <c r="K39" s="13">
        <v>3</v>
      </c>
      <c r="L39" s="20">
        <v>2006</v>
      </c>
      <c r="M39" s="4" t="s">
        <v>56</v>
      </c>
      <c r="N39" s="4">
        <v>21718</v>
      </c>
      <c r="O39" s="4" t="s">
        <v>31</v>
      </c>
      <c r="P39" s="5">
        <v>29750</v>
      </c>
      <c r="Q39" s="564">
        <v>2</v>
      </c>
      <c r="R39" s="564"/>
      <c r="S39" s="52">
        <v>3</v>
      </c>
      <c r="T39" s="5">
        <v>0</v>
      </c>
      <c r="U39" s="15">
        <v>29749.000000000004</v>
      </c>
      <c r="V39" s="15">
        <v>29749.000000000004</v>
      </c>
      <c r="W39" s="15">
        <f t="shared" si="1"/>
        <v>0</v>
      </c>
      <c r="X39" s="15">
        <v>1</v>
      </c>
      <c r="Y39" s="7">
        <v>8079</v>
      </c>
      <c r="AB39" s="67">
        <f t="shared" si="2"/>
        <v>36</v>
      </c>
      <c r="AC39" s="16"/>
    </row>
    <row r="40" spans="1:29" x14ac:dyDescent="0.25">
      <c r="A40" s="12"/>
      <c r="B40" s="12" t="s">
        <v>174</v>
      </c>
      <c r="C40" s="4" t="s">
        <v>175</v>
      </c>
      <c r="D40" s="4" t="s">
        <v>176</v>
      </c>
      <c r="E40" s="4" t="s">
        <v>177</v>
      </c>
      <c r="F40" s="4" t="s">
        <v>178</v>
      </c>
      <c r="G40" s="4" t="s">
        <v>179</v>
      </c>
      <c r="H40" s="4" t="s">
        <v>107</v>
      </c>
      <c r="I40" s="19">
        <v>38729</v>
      </c>
      <c r="J40" s="13">
        <v>12</v>
      </c>
      <c r="K40" s="13">
        <v>1</v>
      </c>
      <c r="L40" s="20">
        <v>2006</v>
      </c>
      <c r="M40" s="4" t="s">
        <v>56</v>
      </c>
      <c r="N40" s="4">
        <v>13809</v>
      </c>
      <c r="O40" s="4" t="s">
        <v>31</v>
      </c>
      <c r="P40" s="5">
        <v>79808</v>
      </c>
      <c r="Q40" s="564">
        <v>2</v>
      </c>
      <c r="R40" s="564"/>
      <c r="S40" s="52">
        <v>3</v>
      </c>
      <c r="T40" s="5">
        <v>0</v>
      </c>
      <c r="U40" s="15">
        <v>79806.999999999985</v>
      </c>
      <c r="V40" s="15">
        <v>79806.999999999985</v>
      </c>
      <c r="W40" s="15">
        <f t="shared" si="1"/>
        <v>0</v>
      </c>
      <c r="X40" s="15">
        <v>1</v>
      </c>
      <c r="Y40" s="7">
        <v>7849</v>
      </c>
      <c r="AB40" s="67">
        <f t="shared" si="2"/>
        <v>36</v>
      </c>
      <c r="AC40" s="16"/>
    </row>
    <row r="41" spans="1:29" x14ac:dyDescent="0.25">
      <c r="A41" s="12"/>
      <c r="B41" s="12"/>
      <c r="Q41" s="564"/>
      <c r="R41" s="564"/>
      <c r="AB41" s="16"/>
      <c r="AC41" s="16"/>
    </row>
    <row r="42" spans="1:29" x14ac:dyDescent="0.25">
      <c r="A42" s="12"/>
      <c r="B42" s="12"/>
      <c r="Q42" s="564"/>
      <c r="R42" s="564"/>
      <c r="AB42" s="16"/>
      <c r="AC42" s="16"/>
    </row>
    <row r="43" spans="1:29" x14ac:dyDescent="0.25">
      <c r="A43" s="12"/>
      <c r="B43" s="12"/>
      <c r="Q43" s="564"/>
      <c r="R43" s="564"/>
      <c r="AB43" s="16"/>
      <c r="AC43" s="16"/>
    </row>
    <row r="44" spans="1:29" s="27" customFormat="1" x14ac:dyDescent="0.25">
      <c r="A44" s="22" t="s">
        <v>180</v>
      </c>
      <c r="B44" s="22"/>
      <c r="C44" s="23"/>
      <c r="D44" s="23"/>
      <c r="E44" s="23"/>
      <c r="F44" s="23"/>
      <c r="G44" s="23"/>
      <c r="H44" s="23"/>
      <c r="I44" s="23"/>
      <c r="J44" s="24"/>
      <c r="K44" s="24"/>
      <c r="L44" s="25"/>
      <c r="M44" s="23"/>
      <c r="N44" s="23"/>
      <c r="O44" s="23"/>
      <c r="P44" s="26">
        <f>SUM(P7:P43)</f>
        <v>410112.24000000005</v>
      </c>
      <c r="Q44" s="55"/>
      <c r="R44" s="55"/>
      <c r="S44" s="73"/>
      <c r="T44" s="26">
        <f>SUM(T7:T43)</f>
        <v>0</v>
      </c>
      <c r="U44" s="26">
        <v>410078.24000000005</v>
      </c>
      <c r="V44" s="26">
        <f>SUM(V7:V43)</f>
        <v>410078.24000000005</v>
      </c>
      <c r="W44" s="26">
        <f>SUM(W7:W43)</f>
        <v>0</v>
      </c>
      <c r="X44" s="26">
        <f>SUM(X7:X43)</f>
        <v>34</v>
      </c>
      <c r="AB44" s="16"/>
    </row>
    <row r="45" spans="1:29" s="27" customFormat="1" x14ac:dyDescent="0.25">
      <c r="A45" s="22"/>
      <c r="B45" s="22"/>
      <c r="C45" s="23"/>
      <c r="D45" s="23"/>
      <c r="E45" s="23"/>
      <c r="F45" s="23"/>
      <c r="G45" s="23"/>
      <c r="H45" s="23"/>
      <c r="I45" s="23"/>
      <c r="J45" s="24"/>
      <c r="K45" s="24"/>
      <c r="L45" s="25"/>
      <c r="M45" s="23"/>
      <c r="N45" s="23"/>
      <c r="O45" s="23"/>
      <c r="P45" s="28"/>
      <c r="Q45" s="55"/>
      <c r="R45" s="55"/>
      <c r="S45" s="73"/>
      <c r="T45" s="28"/>
      <c r="U45" s="28"/>
      <c r="V45" s="28"/>
      <c r="W45" s="28"/>
      <c r="X45" s="28"/>
      <c r="AB45" s="16"/>
    </row>
    <row r="46" spans="1:29" s="27" customFormat="1" x14ac:dyDescent="0.25">
      <c r="A46" s="22" t="s">
        <v>181</v>
      </c>
      <c r="B46" s="22"/>
      <c r="C46" s="23"/>
      <c r="D46" s="23"/>
      <c r="E46" s="23"/>
      <c r="F46" s="23"/>
      <c r="G46" s="23"/>
      <c r="H46" s="23"/>
      <c r="I46" s="23"/>
      <c r="J46" s="24"/>
      <c r="K46" s="24"/>
      <c r="L46" s="25"/>
      <c r="M46" s="23"/>
      <c r="N46" s="23"/>
      <c r="O46" s="23"/>
      <c r="P46" s="29">
        <f>P44</f>
        <v>410112.24000000005</v>
      </c>
      <c r="Q46" s="28">
        <f>Q44</f>
        <v>0</v>
      </c>
      <c r="R46" s="28"/>
      <c r="S46" s="28"/>
      <c r="T46" s="29">
        <f t="shared" ref="T46:Y46" si="4">T44</f>
        <v>0</v>
      </c>
      <c r="U46" s="29">
        <v>410078.24000000005</v>
      </c>
      <c r="V46" s="29">
        <f t="shared" si="4"/>
        <v>410078.24000000005</v>
      </c>
      <c r="W46" s="29">
        <f t="shared" si="4"/>
        <v>0</v>
      </c>
      <c r="X46" s="29">
        <f t="shared" si="4"/>
        <v>34</v>
      </c>
      <c r="Y46" s="28">
        <f t="shared" si="4"/>
        <v>0</v>
      </c>
      <c r="AB46" s="16"/>
    </row>
    <row r="47" spans="1:29" x14ac:dyDescent="0.25">
      <c r="A47" s="12"/>
      <c r="B47" s="12"/>
      <c r="P47" s="28"/>
      <c r="V47" s="28"/>
      <c r="W47" s="28"/>
      <c r="X47" s="28"/>
      <c r="AB47" s="16"/>
    </row>
    <row r="48" spans="1:29" x14ac:dyDescent="0.25">
      <c r="A48" s="12" t="s">
        <v>182</v>
      </c>
      <c r="B48" s="12"/>
      <c r="D48" s="4" t="s">
        <v>183</v>
      </c>
      <c r="E48" s="4" t="s">
        <v>28</v>
      </c>
      <c r="F48" s="4">
        <v>5590</v>
      </c>
      <c r="G48" s="4" t="s">
        <v>184</v>
      </c>
      <c r="H48" s="4" t="s">
        <v>55</v>
      </c>
      <c r="J48" s="13">
        <v>26</v>
      </c>
      <c r="K48" s="13">
        <v>10</v>
      </c>
      <c r="L48" s="20">
        <v>2007</v>
      </c>
      <c r="M48" s="4" t="s">
        <v>56</v>
      </c>
      <c r="N48" s="4">
        <v>16714</v>
      </c>
      <c r="O48" s="4" t="s">
        <v>31</v>
      </c>
      <c r="P48" s="5">
        <v>14330</v>
      </c>
      <c r="Q48" s="564"/>
      <c r="R48" s="564"/>
      <c r="S48" s="33">
        <v>3</v>
      </c>
      <c r="T48" s="5">
        <v>0</v>
      </c>
      <c r="U48" s="15">
        <v>30648.138888888887</v>
      </c>
      <c r="V48" s="15">
        <v>30648.138888888887</v>
      </c>
      <c r="W48" s="15">
        <v>0</v>
      </c>
      <c r="X48" s="15">
        <f t="shared" ref="X48:X62" si="5">IF(W48=0,1)</f>
        <v>1</v>
      </c>
      <c r="Y48" s="7">
        <v>56</v>
      </c>
      <c r="AB48" s="16">
        <f>((2014-L48)*12)+(2-K48)+1</f>
        <v>77</v>
      </c>
    </row>
    <row r="49" spans="1:28" x14ac:dyDescent="0.25">
      <c r="A49" s="4" t="s">
        <v>185</v>
      </c>
      <c r="B49" s="12" t="s">
        <v>186</v>
      </c>
      <c r="C49" s="4" t="s">
        <v>187</v>
      </c>
      <c r="D49" s="4" t="s">
        <v>188</v>
      </c>
      <c r="E49" s="4" t="s">
        <v>83</v>
      </c>
      <c r="F49" s="4" t="s">
        <v>189</v>
      </c>
      <c r="G49" s="4" t="s">
        <v>190</v>
      </c>
      <c r="H49" s="4" t="s">
        <v>139</v>
      </c>
      <c r="J49" s="13">
        <v>16</v>
      </c>
      <c r="K49" s="13">
        <v>10</v>
      </c>
      <c r="L49" s="20">
        <v>2007</v>
      </c>
      <c r="M49" s="4" t="s">
        <v>56</v>
      </c>
      <c r="N49" s="4">
        <v>2845</v>
      </c>
      <c r="O49" s="4" t="s">
        <v>31</v>
      </c>
      <c r="P49" s="14">
        <v>44650</v>
      </c>
      <c r="Q49" s="564"/>
      <c r="R49" s="564"/>
      <c r="S49" s="33">
        <v>3</v>
      </c>
      <c r="T49" s="5">
        <v>0</v>
      </c>
      <c r="U49" s="15">
        <v>44649</v>
      </c>
      <c r="V49" s="15">
        <v>44649</v>
      </c>
      <c r="W49" s="15">
        <v>0</v>
      </c>
      <c r="X49" s="15">
        <f t="shared" si="5"/>
        <v>1</v>
      </c>
      <c r="Y49" s="7">
        <v>57</v>
      </c>
      <c r="AB49" s="67">
        <f t="shared" ref="AB49:AB62" si="6">IF((DATEDIF(I49,AB$4,"m"))&gt;=36,36,(DATEDIF(I49,AB$4,"m")))</f>
        <v>36</v>
      </c>
    </row>
    <row r="50" spans="1:28" x14ac:dyDescent="0.25">
      <c r="A50" s="4" t="s">
        <v>191</v>
      </c>
      <c r="B50" s="12" t="s">
        <v>192</v>
      </c>
      <c r="C50" s="4" t="s">
        <v>193</v>
      </c>
      <c r="D50" s="4" t="s">
        <v>188</v>
      </c>
      <c r="E50" s="4" t="s">
        <v>83</v>
      </c>
      <c r="F50" s="4" t="s">
        <v>189</v>
      </c>
      <c r="G50" s="4" t="s">
        <v>194</v>
      </c>
      <c r="H50" s="4" t="s">
        <v>139</v>
      </c>
      <c r="J50" s="13">
        <v>16</v>
      </c>
      <c r="K50" s="13">
        <v>10</v>
      </c>
      <c r="L50" s="20">
        <v>2007</v>
      </c>
      <c r="M50" s="4" t="s">
        <v>56</v>
      </c>
      <c r="N50" s="4">
        <v>2845</v>
      </c>
      <c r="O50" s="4" t="s">
        <v>31</v>
      </c>
      <c r="P50" s="14">
        <v>44650</v>
      </c>
      <c r="Q50" s="564"/>
      <c r="R50" s="564"/>
      <c r="S50" s="33">
        <v>3</v>
      </c>
      <c r="T50" s="5">
        <v>0</v>
      </c>
      <c r="U50" s="15">
        <v>44649</v>
      </c>
      <c r="V50" s="15">
        <v>44649</v>
      </c>
      <c r="W50" s="15">
        <v>0</v>
      </c>
      <c r="X50" s="15">
        <f t="shared" si="5"/>
        <v>1</v>
      </c>
      <c r="Y50" s="7">
        <v>57</v>
      </c>
      <c r="AB50" s="67">
        <f t="shared" si="6"/>
        <v>36</v>
      </c>
    </row>
    <row r="51" spans="1:28" x14ac:dyDescent="0.25">
      <c r="A51" s="4" t="s">
        <v>195</v>
      </c>
      <c r="B51" s="12" t="s">
        <v>196</v>
      </c>
      <c r="C51" s="4" t="s">
        <v>197</v>
      </c>
      <c r="D51" s="4" t="s">
        <v>188</v>
      </c>
      <c r="E51" s="4" t="s">
        <v>83</v>
      </c>
      <c r="F51" s="4" t="s">
        <v>189</v>
      </c>
      <c r="G51" s="4" t="s">
        <v>198</v>
      </c>
      <c r="H51" s="4" t="s">
        <v>139</v>
      </c>
      <c r="J51" s="13">
        <v>16</v>
      </c>
      <c r="K51" s="13">
        <v>10</v>
      </c>
      <c r="L51" s="20">
        <v>2007</v>
      </c>
      <c r="M51" s="4" t="s">
        <v>56</v>
      </c>
      <c r="N51" s="4">
        <v>2845</v>
      </c>
      <c r="O51" s="4" t="s">
        <v>31</v>
      </c>
      <c r="P51" s="14">
        <v>44650</v>
      </c>
      <c r="Q51" s="564"/>
      <c r="R51" s="564"/>
      <c r="S51" s="33">
        <v>3</v>
      </c>
      <c r="T51" s="5">
        <v>0</v>
      </c>
      <c r="U51" s="15">
        <v>44649</v>
      </c>
      <c r="V51" s="15">
        <v>44649</v>
      </c>
      <c r="W51" s="15">
        <v>0</v>
      </c>
      <c r="X51" s="15">
        <f t="shared" si="5"/>
        <v>1</v>
      </c>
      <c r="Y51" s="7">
        <v>57</v>
      </c>
      <c r="AB51" s="67">
        <f t="shared" si="6"/>
        <v>36</v>
      </c>
    </row>
    <row r="52" spans="1:28" x14ac:dyDescent="0.25">
      <c r="A52" s="4" t="s">
        <v>199</v>
      </c>
      <c r="B52" s="12" t="s">
        <v>200</v>
      </c>
      <c r="C52" s="4" t="s">
        <v>193</v>
      </c>
      <c r="D52" s="4" t="s">
        <v>201</v>
      </c>
      <c r="E52" s="4" t="s">
        <v>83</v>
      </c>
      <c r="F52" s="4" t="s">
        <v>202</v>
      </c>
      <c r="G52" s="4" t="s">
        <v>203</v>
      </c>
      <c r="H52" s="4" t="s">
        <v>139</v>
      </c>
      <c r="J52" s="13">
        <v>16</v>
      </c>
      <c r="K52" s="13">
        <v>10</v>
      </c>
      <c r="L52" s="20">
        <v>2007</v>
      </c>
      <c r="M52" s="4" t="s">
        <v>56</v>
      </c>
      <c r="N52" s="4">
        <v>2845</v>
      </c>
      <c r="O52" s="4" t="s">
        <v>31</v>
      </c>
      <c r="P52" s="14">
        <v>8440</v>
      </c>
      <c r="Q52" s="564"/>
      <c r="R52" s="564"/>
      <c r="S52" s="33">
        <v>3</v>
      </c>
      <c r="T52" s="5">
        <v>0</v>
      </c>
      <c r="U52" s="15">
        <v>8439</v>
      </c>
      <c r="V52" s="15">
        <v>8439</v>
      </c>
      <c r="W52" s="15">
        <v>0</v>
      </c>
      <c r="X52" s="15">
        <f t="shared" si="5"/>
        <v>1</v>
      </c>
      <c r="Y52" s="7">
        <v>57</v>
      </c>
      <c r="AB52" s="67">
        <f t="shared" si="6"/>
        <v>36</v>
      </c>
    </row>
    <row r="53" spans="1:28" x14ac:dyDescent="0.25">
      <c r="A53" s="4" t="s">
        <v>204</v>
      </c>
      <c r="B53" s="12" t="s">
        <v>205</v>
      </c>
      <c r="C53" s="4" t="s">
        <v>65</v>
      </c>
      <c r="D53" s="4" t="s">
        <v>201</v>
      </c>
      <c r="E53" s="4" t="s">
        <v>83</v>
      </c>
      <c r="F53" s="4" t="s">
        <v>202</v>
      </c>
      <c r="G53" s="4" t="s">
        <v>206</v>
      </c>
      <c r="H53" s="4" t="s">
        <v>139</v>
      </c>
      <c r="J53" s="13">
        <v>16</v>
      </c>
      <c r="K53" s="13">
        <v>10</v>
      </c>
      <c r="L53" s="20">
        <v>2007</v>
      </c>
      <c r="M53" s="4" t="s">
        <v>56</v>
      </c>
      <c r="N53" s="4">
        <v>2845</v>
      </c>
      <c r="O53" s="4" t="s">
        <v>31</v>
      </c>
      <c r="P53" s="14">
        <v>8440</v>
      </c>
      <c r="Q53" s="564"/>
      <c r="R53" s="564"/>
      <c r="S53" s="33">
        <v>3</v>
      </c>
      <c r="T53" s="5">
        <v>0</v>
      </c>
      <c r="U53" s="15">
        <v>8439</v>
      </c>
      <c r="V53" s="15">
        <v>8439</v>
      </c>
      <c r="W53" s="15">
        <v>0</v>
      </c>
      <c r="X53" s="15">
        <f t="shared" si="5"/>
        <v>1</v>
      </c>
      <c r="Y53" s="7">
        <v>57</v>
      </c>
      <c r="AB53" s="67">
        <f t="shared" si="6"/>
        <v>36</v>
      </c>
    </row>
    <row r="54" spans="1:28" x14ac:dyDescent="0.25">
      <c r="A54" s="4" t="s">
        <v>207</v>
      </c>
      <c r="B54" s="12" t="s">
        <v>205</v>
      </c>
      <c r="C54" s="4" t="s">
        <v>208</v>
      </c>
      <c r="D54" s="4" t="s">
        <v>201</v>
      </c>
      <c r="E54" s="4" t="s">
        <v>83</v>
      </c>
      <c r="F54" s="4" t="s">
        <v>202</v>
      </c>
      <c r="H54" s="4" t="s">
        <v>139</v>
      </c>
      <c r="J54" s="13">
        <v>16</v>
      </c>
      <c r="K54" s="13">
        <v>10</v>
      </c>
      <c r="L54" s="20">
        <v>2007</v>
      </c>
      <c r="M54" s="4" t="s">
        <v>56</v>
      </c>
      <c r="N54" s="4">
        <v>2845</v>
      </c>
      <c r="O54" s="4" t="s">
        <v>31</v>
      </c>
      <c r="P54" s="14">
        <v>8440</v>
      </c>
      <c r="Q54" s="564"/>
      <c r="R54" s="564"/>
      <c r="S54" s="33">
        <v>3</v>
      </c>
      <c r="T54" s="5">
        <v>0</v>
      </c>
      <c r="U54" s="15">
        <v>8439</v>
      </c>
      <c r="V54" s="15">
        <v>8439</v>
      </c>
      <c r="W54" s="15">
        <v>0</v>
      </c>
      <c r="X54" s="15">
        <f t="shared" si="5"/>
        <v>1</v>
      </c>
      <c r="Y54" s="7">
        <v>57</v>
      </c>
      <c r="AB54" s="67">
        <f t="shared" si="6"/>
        <v>36</v>
      </c>
    </row>
    <row r="55" spans="1:28" x14ac:dyDescent="0.25">
      <c r="A55" s="4" t="s">
        <v>209</v>
      </c>
      <c r="B55" s="12"/>
      <c r="D55" s="4" t="s">
        <v>210</v>
      </c>
      <c r="E55" s="4" t="s">
        <v>28</v>
      </c>
      <c r="F55" s="4" t="s">
        <v>211</v>
      </c>
      <c r="H55" s="4" t="s">
        <v>212</v>
      </c>
      <c r="J55" s="13">
        <v>5</v>
      </c>
      <c r="K55" s="13">
        <v>3</v>
      </c>
      <c r="L55" s="20">
        <v>2007</v>
      </c>
      <c r="M55" s="4" t="s">
        <v>56</v>
      </c>
      <c r="N55" s="4">
        <v>38777</v>
      </c>
      <c r="O55" s="4" t="s">
        <v>31</v>
      </c>
      <c r="P55" s="14">
        <v>2552</v>
      </c>
      <c r="Q55" s="564"/>
      <c r="R55" s="564"/>
      <c r="S55" s="33">
        <v>3</v>
      </c>
      <c r="T55" s="5">
        <v>0</v>
      </c>
      <c r="U55" s="15">
        <v>2551</v>
      </c>
      <c r="V55" s="15">
        <v>2551</v>
      </c>
      <c r="W55" s="15">
        <v>0</v>
      </c>
      <c r="X55" s="15">
        <f t="shared" si="5"/>
        <v>1</v>
      </c>
      <c r="Y55" s="7">
        <v>9495</v>
      </c>
      <c r="AB55" s="67">
        <f t="shared" si="6"/>
        <v>36</v>
      </c>
    </row>
    <row r="56" spans="1:28" x14ac:dyDescent="0.25">
      <c r="A56" s="4" t="s">
        <v>213</v>
      </c>
      <c r="B56" s="12" t="s">
        <v>214</v>
      </c>
      <c r="C56" s="4" t="s">
        <v>215</v>
      </c>
      <c r="D56" s="4" t="s">
        <v>188</v>
      </c>
      <c r="E56" s="4" t="s">
        <v>83</v>
      </c>
      <c r="F56" s="4" t="s">
        <v>216</v>
      </c>
      <c r="G56" s="4" t="s">
        <v>217</v>
      </c>
      <c r="H56" s="4" t="s">
        <v>139</v>
      </c>
      <c r="J56" s="13">
        <v>3</v>
      </c>
      <c r="K56" s="13">
        <v>4</v>
      </c>
      <c r="L56" s="20">
        <v>2007</v>
      </c>
      <c r="M56" s="4" t="s">
        <v>56</v>
      </c>
      <c r="N56" s="4">
        <v>786</v>
      </c>
      <c r="O56" s="4" t="s">
        <v>31</v>
      </c>
      <c r="P56" s="14">
        <v>26955</v>
      </c>
      <c r="Q56" s="564"/>
      <c r="R56" s="564"/>
      <c r="S56" s="33">
        <v>3</v>
      </c>
      <c r="T56" s="5">
        <v>0</v>
      </c>
      <c r="U56" s="15">
        <v>26954</v>
      </c>
      <c r="V56" s="15">
        <v>26954</v>
      </c>
      <c r="W56" s="15">
        <v>0</v>
      </c>
      <c r="X56" s="15">
        <f t="shared" si="5"/>
        <v>1</v>
      </c>
      <c r="Y56" s="7">
        <v>9485</v>
      </c>
      <c r="AB56" s="67">
        <f t="shared" si="6"/>
        <v>36</v>
      </c>
    </row>
    <row r="57" spans="1:28" x14ac:dyDescent="0.25">
      <c r="A57" s="4" t="s">
        <v>218</v>
      </c>
      <c r="B57" s="12" t="s">
        <v>219</v>
      </c>
      <c r="C57" s="4" t="s">
        <v>220</v>
      </c>
      <c r="D57" s="4" t="s">
        <v>201</v>
      </c>
      <c r="E57" s="4" t="s">
        <v>83</v>
      </c>
      <c r="F57" s="4" t="s">
        <v>137</v>
      </c>
      <c r="G57" s="4" t="s">
        <v>221</v>
      </c>
      <c r="H57" s="4" t="s">
        <v>139</v>
      </c>
      <c r="J57" s="13">
        <v>3</v>
      </c>
      <c r="K57" s="13">
        <v>4</v>
      </c>
      <c r="L57" s="20">
        <v>2007</v>
      </c>
      <c r="M57" s="4" t="s">
        <v>56</v>
      </c>
      <c r="N57" s="4">
        <v>786</v>
      </c>
      <c r="O57" s="4" t="s">
        <v>31</v>
      </c>
      <c r="P57" s="14">
        <v>8059.5</v>
      </c>
      <c r="Q57" s="564"/>
      <c r="R57" s="564"/>
      <c r="S57" s="33">
        <v>3</v>
      </c>
      <c r="T57" s="5">
        <v>0</v>
      </c>
      <c r="U57" s="15">
        <v>8058.4999999999991</v>
      </c>
      <c r="V57" s="15">
        <v>8058.4999999999991</v>
      </c>
      <c r="W57" s="15">
        <v>0</v>
      </c>
      <c r="X57" s="15">
        <f t="shared" si="5"/>
        <v>1</v>
      </c>
      <c r="Y57" s="7">
        <v>9485</v>
      </c>
      <c r="AB57" s="67">
        <f t="shared" si="6"/>
        <v>36</v>
      </c>
    </row>
    <row r="58" spans="1:28" x14ac:dyDescent="0.25">
      <c r="A58" s="4" t="s">
        <v>222</v>
      </c>
      <c r="B58" s="4" t="s">
        <v>205</v>
      </c>
      <c r="C58" s="4" t="s">
        <v>223</v>
      </c>
      <c r="D58" s="4" t="s">
        <v>224</v>
      </c>
      <c r="H58" s="4" t="s">
        <v>225</v>
      </c>
      <c r="J58" s="13">
        <v>13</v>
      </c>
      <c r="K58" s="13">
        <v>3</v>
      </c>
      <c r="L58" s="20">
        <v>2007</v>
      </c>
      <c r="M58" s="4" t="s">
        <v>226</v>
      </c>
      <c r="N58" s="4">
        <v>1762</v>
      </c>
      <c r="O58" s="4" t="s">
        <v>31</v>
      </c>
      <c r="P58" s="14">
        <v>12664.04</v>
      </c>
      <c r="Q58" s="564"/>
      <c r="R58" s="564"/>
      <c r="S58" s="33">
        <v>3</v>
      </c>
      <c r="T58" s="5">
        <v>0</v>
      </c>
      <c r="U58" s="15">
        <v>12663.04</v>
      </c>
      <c r="V58" s="15">
        <v>12663.04</v>
      </c>
      <c r="W58" s="15">
        <v>0</v>
      </c>
      <c r="X58" s="15">
        <f t="shared" si="5"/>
        <v>1</v>
      </c>
      <c r="Y58" s="7">
        <v>9390</v>
      </c>
      <c r="AB58" s="67">
        <f t="shared" si="6"/>
        <v>36</v>
      </c>
    </row>
    <row r="59" spans="1:28" x14ac:dyDescent="0.25">
      <c r="A59" s="4" t="s">
        <v>227</v>
      </c>
      <c r="B59" s="12"/>
      <c r="D59" s="4" t="s">
        <v>228</v>
      </c>
      <c r="H59" s="4" t="s">
        <v>225</v>
      </c>
      <c r="J59" s="13">
        <v>13</v>
      </c>
      <c r="K59" s="13">
        <v>3</v>
      </c>
      <c r="L59" s="20">
        <v>2007</v>
      </c>
      <c r="M59" s="4" t="s">
        <v>226</v>
      </c>
      <c r="N59" s="4">
        <v>1762</v>
      </c>
      <c r="O59" s="4" t="s">
        <v>31</v>
      </c>
      <c r="P59" s="30">
        <v>33301.74</v>
      </c>
      <c r="S59" s="33">
        <v>3</v>
      </c>
      <c r="T59" s="5">
        <v>0</v>
      </c>
      <c r="U59" s="15">
        <v>33300.74</v>
      </c>
      <c r="V59" s="15">
        <v>33300.74</v>
      </c>
      <c r="W59" s="15">
        <v>0</v>
      </c>
      <c r="X59" s="15">
        <f t="shared" si="5"/>
        <v>1</v>
      </c>
      <c r="Y59" s="7">
        <v>9390</v>
      </c>
      <c r="AB59" s="67">
        <f t="shared" si="6"/>
        <v>36</v>
      </c>
    </row>
    <row r="60" spans="1:28" x14ac:dyDescent="0.25">
      <c r="A60" s="4" t="s">
        <v>229</v>
      </c>
      <c r="B60" s="12" t="s">
        <v>230</v>
      </c>
      <c r="C60" s="4" t="s">
        <v>223</v>
      </c>
      <c r="D60" s="4" t="s">
        <v>231</v>
      </c>
      <c r="E60" s="4" t="s">
        <v>232</v>
      </c>
      <c r="F60" s="4" t="s">
        <v>233</v>
      </c>
      <c r="H60" s="4" t="s">
        <v>225</v>
      </c>
      <c r="J60" s="13">
        <v>13</v>
      </c>
      <c r="K60" s="13">
        <v>3</v>
      </c>
      <c r="L60" s="20">
        <v>2007</v>
      </c>
      <c r="M60" s="4" t="s">
        <v>226</v>
      </c>
      <c r="N60" s="4">
        <v>1762</v>
      </c>
      <c r="O60" s="4" t="s">
        <v>31</v>
      </c>
      <c r="P60" s="14">
        <v>156423.67999999999</v>
      </c>
      <c r="S60" s="33">
        <v>3</v>
      </c>
      <c r="T60" s="5">
        <v>0</v>
      </c>
      <c r="U60" s="15">
        <v>156422.68</v>
      </c>
      <c r="V60" s="15">
        <v>156422.68</v>
      </c>
      <c r="W60" s="15">
        <v>0</v>
      </c>
      <c r="X60" s="15">
        <f t="shared" si="5"/>
        <v>1</v>
      </c>
      <c r="Y60" s="7">
        <v>9390</v>
      </c>
      <c r="AB60" s="67">
        <f t="shared" si="6"/>
        <v>36</v>
      </c>
    </row>
    <row r="61" spans="1:28" x14ac:dyDescent="0.25">
      <c r="A61" s="4" t="s">
        <v>234</v>
      </c>
      <c r="B61" s="12"/>
      <c r="D61" s="4" t="s">
        <v>235</v>
      </c>
      <c r="H61" s="4" t="s">
        <v>225</v>
      </c>
      <c r="J61" s="13">
        <v>5</v>
      </c>
      <c r="K61" s="13">
        <v>6</v>
      </c>
      <c r="L61" s="20">
        <v>2007</v>
      </c>
      <c r="M61" s="4" t="s">
        <v>56</v>
      </c>
      <c r="N61" s="4">
        <v>3929</v>
      </c>
      <c r="O61" s="4" t="s">
        <v>31</v>
      </c>
      <c r="P61" s="30">
        <v>16739.07</v>
      </c>
      <c r="S61" s="33">
        <v>3</v>
      </c>
      <c r="T61" s="5">
        <v>0</v>
      </c>
      <c r="U61" s="15">
        <v>16738.07</v>
      </c>
      <c r="V61" s="15">
        <v>16738.07</v>
      </c>
      <c r="W61" s="15">
        <v>0</v>
      </c>
      <c r="X61" s="15">
        <f t="shared" si="5"/>
        <v>1</v>
      </c>
      <c r="Y61" s="7">
        <v>9879</v>
      </c>
      <c r="AB61" s="67">
        <f t="shared" si="6"/>
        <v>36</v>
      </c>
    </row>
    <row r="62" spans="1:28" x14ac:dyDescent="0.25">
      <c r="A62" s="4" t="s">
        <v>236</v>
      </c>
      <c r="B62" s="12" t="s">
        <v>205</v>
      </c>
      <c r="C62" s="4" t="s">
        <v>237</v>
      </c>
      <c r="D62" s="4" t="s">
        <v>238</v>
      </c>
      <c r="H62" s="4" t="s">
        <v>225</v>
      </c>
      <c r="J62" s="13">
        <v>8</v>
      </c>
      <c r="K62" s="13">
        <v>8</v>
      </c>
      <c r="L62" s="20">
        <v>2007</v>
      </c>
      <c r="M62" s="4" t="s">
        <v>56</v>
      </c>
      <c r="N62" s="4">
        <v>3929</v>
      </c>
      <c r="O62" s="4" t="s">
        <v>31</v>
      </c>
      <c r="P62" s="30">
        <f>14698.6+1.43</f>
        <v>14700.03</v>
      </c>
      <c r="S62" s="33">
        <v>3</v>
      </c>
      <c r="T62" s="5">
        <v>0</v>
      </c>
      <c r="U62" s="15">
        <v>14699.030000000002</v>
      </c>
      <c r="V62" s="15">
        <v>14699.030000000002</v>
      </c>
      <c r="W62" s="15">
        <v>0</v>
      </c>
      <c r="X62" s="15">
        <f t="shared" si="5"/>
        <v>1</v>
      </c>
      <c r="Y62" s="7">
        <v>9879</v>
      </c>
      <c r="AB62" s="67">
        <f t="shared" si="6"/>
        <v>36</v>
      </c>
    </row>
    <row r="63" spans="1:28" s="27" customFormat="1" x14ac:dyDescent="0.25">
      <c r="A63" s="22" t="s">
        <v>239</v>
      </c>
      <c r="B63" s="22"/>
      <c r="C63" s="23"/>
      <c r="D63" s="23"/>
      <c r="E63" s="23"/>
      <c r="F63" s="23"/>
      <c r="G63" s="23"/>
      <c r="H63" s="23"/>
      <c r="I63" s="23"/>
      <c r="J63" s="24"/>
      <c r="K63" s="24"/>
      <c r="L63" s="25"/>
      <c r="M63" s="23"/>
      <c r="N63" s="23"/>
      <c r="O63" s="23"/>
      <c r="P63" s="26">
        <f>SUM(P48:P62)</f>
        <v>444995.06</v>
      </c>
      <c r="Q63" s="55"/>
      <c r="R63" s="55"/>
      <c r="S63" s="73"/>
      <c r="T63" s="26">
        <f>SUM(T48:T62)</f>
        <v>0</v>
      </c>
      <c r="U63" s="26">
        <v>461299.19888888893</v>
      </c>
      <c r="V63" s="26">
        <f>SUM(V48:V62)</f>
        <v>461299.19888888893</v>
      </c>
      <c r="W63" s="26">
        <f>SUM(W48:W62)</f>
        <v>0</v>
      </c>
      <c r="X63" s="26">
        <f>SUM(X48:X62)</f>
        <v>15</v>
      </c>
      <c r="AB63" s="31"/>
    </row>
    <row r="64" spans="1:28" x14ac:dyDescent="0.25">
      <c r="B64" s="12"/>
      <c r="P64" s="28"/>
      <c r="V64" s="28"/>
      <c r="W64" s="28"/>
      <c r="X64" s="28"/>
      <c r="AB64" s="16"/>
    </row>
    <row r="65" spans="1:28" s="27" customFormat="1" x14ac:dyDescent="0.25">
      <c r="A65" s="22" t="s">
        <v>240</v>
      </c>
      <c r="B65" s="22"/>
      <c r="C65" s="23"/>
      <c r="D65" s="23"/>
      <c r="E65" s="23"/>
      <c r="F65" s="23"/>
      <c r="G65" s="23"/>
      <c r="H65" s="23"/>
      <c r="I65" s="23"/>
      <c r="J65" s="24"/>
      <c r="K65" s="24"/>
      <c r="L65" s="25"/>
      <c r="M65" s="23"/>
      <c r="N65" s="23"/>
      <c r="O65" s="23"/>
      <c r="P65" s="29">
        <f>P46+P63</f>
        <v>855107.3</v>
      </c>
      <c r="Q65" s="28">
        <f>Q46+Q63</f>
        <v>0</v>
      </c>
      <c r="R65" s="28"/>
      <c r="S65" s="28"/>
      <c r="T65" s="29">
        <f t="shared" ref="T65:Y65" si="7">T46+T63</f>
        <v>0</v>
      </c>
      <c r="U65" s="29">
        <v>871377.43888888904</v>
      </c>
      <c r="V65" s="29">
        <f t="shared" si="7"/>
        <v>871377.43888888904</v>
      </c>
      <c r="W65" s="29">
        <f t="shared" si="7"/>
        <v>0</v>
      </c>
      <c r="X65" s="29">
        <f t="shared" si="7"/>
        <v>49</v>
      </c>
      <c r="Y65" s="29">
        <f t="shared" si="7"/>
        <v>0</v>
      </c>
      <c r="AB65" s="16"/>
    </row>
    <row r="66" spans="1:28" s="27" customFormat="1" x14ac:dyDescent="0.25">
      <c r="A66" s="22"/>
      <c r="B66" s="22"/>
      <c r="C66" s="23"/>
      <c r="D66" s="23"/>
      <c r="E66" s="23"/>
      <c r="F66" s="23"/>
      <c r="G66" s="23"/>
      <c r="H66" s="23"/>
      <c r="I66" s="23"/>
      <c r="J66" s="24"/>
      <c r="K66" s="24"/>
      <c r="L66" s="25"/>
      <c r="M66" s="23"/>
      <c r="N66" s="23"/>
      <c r="O66" s="23"/>
      <c r="P66" s="28"/>
      <c r="Q66" s="55"/>
      <c r="R66" s="55"/>
      <c r="S66" s="73"/>
      <c r="T66" s="28"/>
      <c r="U66" s="28"/>
      <c r="V66" s="28"/>
      <c r="W66" s="28"/>
      <c r="X66" s="28"/>
      <c r="AB66" s="16"/>
    </row>
    <row r="67" spans="1:28" x14ac:dyDescent="0.25">
      <c r="B67" s="12" t="s">
        <v>241</v>
      </c>
      <c r="C67" s="4" t="s">
        <v>242</v>
      </c>
      <c r="D67" s="4" t="s">
        <v>243</v>
      </c>
      <c r="E67" s="4" t="s">
        <v>28</v>
      </c>
      <c r="F67" s="4" t="s">
        <v>244</v>
      </c>
      <c r="G67" s="4" t="s">
        <v>245</v>
      </c>
      <c r="H67" s="4" t="s">
        <v>246</v>
      </c>
      <c r="I67" s="19">
        <v>39531</v>
      </c>
      <c r="J67" s="13">
        <v>24</v>
      </c>
      <c r="K67" s="13">
        <v>3</v>
      </c>
      <c r="L67" s="20">
        <v>2008</v>
      </c>
      <c r="M67" s="4" t="s">
        <v>56</v>
      </c>
      <c r="N67" s="4">
        <v>12906</v>
      </c>
      <c r="O67" s="4" t="s">
        <v>31</v>
      </c>
      <c r="P67" s="32">
        <v>8770.76</v>
      </c>
      <c r="S67" s="52">
        <v>3</v>
      </c>
      <c r="T67" s="5">
        <v>0</v>
      </c>
      <c r="U67" s="15">
        <v>8769.76</v>
      </c>
      <c r="V67" s="15">
        <v>8769.76</v>
      </c>
      <c r="W67" s="15">
        <f t="shared" ref="W67:W98" si="8">V67-U67</f>
        <v>0</v>
      </c>
      <c r="X67" s="15">
        <f t="shared" ref="X67:X98" si="9">IF(W67=0,1)</f>
        <v>1</v>
      </c>
      <c r="Y67" s="33">
        <v>10560</v>
      </c>
      <c r="AB67" s="67">
        <f t="shared" ref="AB67:AB130" si="10">IF((DATEDIF(I67,AB$4,"m"))&gt;=36,36,(DATEDIF(I67,AB$4,"m")))</f>
        <v>36</v>
      </c>
    </row>
    <row r="68" spans="1:28" x14ac:dyDescent="0.25">
      <c r="B68" s="12" t="s">
        <v>247</v>
      </c>
      <c r="C68" s="4" t="s">
        <v>248</v>
      </c>
      <c r="D68" s="4" t="s">
        <v>243</v>
      </c>
      <c r="E68" s="4" t="s">
        <v>28</v>
      </c>
      <c r="F68" s="4" t="s">
        <v>244</v>
      </c>
      <c r="G68" s="4" t="s">
        <v>249</v>
      </c>
      <c r="H68" s="4" t="s">
        <v>246</v>
      </c>
      <c r="I68" s="19">
        <v>39531</v>
      </c>
      <c r="J68" s="13">
        <v>24</v>
      </c>
      <c r="K68" s="13">
        <v>3</v>
      </c>
      <c r="L68" s="20">
        <v>2008</v>
      </c>
      <c r="M68" s="4" t="s">
        <v>56</v>
      </c>
      <c r="N68" s="4">
        <v>12906</v>
      </c>
      <c r="O68" s="4" t="s">
        <v>31</v>
      </c>
      <c r="P68" s="32">
        <v>8770.76</v>
      </c>
      <c r="S68" s="52">
        <v>3</v>
      </c>
      <c r="T68" s="5">
        <v>0</v>
      </c>
      <c r="U68" s="15">
        <v>8769.76</v>
      </c>
      <c r="V68" s="15">
        <v>8769.76</v>
      </c>
      <c r="W68" s="15">
        <f t="shared" si="8"/>
        <v>0</v>
      </c>
      <c r="X68" s="15">
        <f t="shared" si="9"/>
        <v>1</v>
      </c>
      <c r="Y68" s="33">
        <v>10560</v>
      </c>
      <c r="AB68" s="67">
        <f t="shared" si="10"/>
        <v>36</v>
      </c>
    </row>
    <row r="69" spans="1:28" x14ac:dyDescent="0.25">
      <c r="B69" s="12" t="s">
        <v>250</v>
      </c>
      <c r="C69" s="4" t="s">
        <v>251</v>
      </c>
      <c r="D69" s="4" t="s">
        <v>243</v>
      </c>
      <c r="E69" s="4" t="s">
        <v>28</v>
      </c>
      <c r="F69" s="4" t="s">
        <v>244</v>
      </c>
      <c r="G69" s="4" t="s">
        <v>252</v>
      </c>
      <c r="H69" s="4" t="s">
        <v>246</v>
      </c>
      <c r="I69" s="19">
        <v>39531</v>
      </c>
      <c r="J69" s="13">
        <v>24</v>
      </c>
      <c r="K69" s="13">
        <v>3</v>
      </c>
      <c r="L69" s="20">
        <v>2008</v>
      </c>
      <c r="M69" s="4" t="s">
        <v>56</v>
      </c>
      <c r="N69" s="4">
        <v>12906</v>
      </c>
      <c r="O69" s="4" t="s">
        <v>31</v>
      </c>
      <c r="P69" s="32">
        <v>8770.76</v>
      </c>
      <c r="S69" s="52">
        <v>3</v>
      </c>
      <c r="T69" s="5">
        <v>0</v>
      </c>
      <c r="U69" s="15">
        <v>8769.76</v>
      </c>
      <c r="V69" s="15">
        <v>8769.76</v>
      </c>
      <c r="W69" s="15">
        <f t="shared" si="8"/>
        <v>0</v>
      </c>
      <c r="X69" s="15">
        <f t="shared" si="9"/>
        <v>1</v>
      </c>
      <c r="Y69" s="33">
        <v>10560</v>
      </c>
      <c r="AB69" s="67">
        <f t="shared" si="10"/>
        <v>36</v>
      </c>
    </row>
    <row r="70" spans="1:28" x14ac:dyDescent="0.25">
      <c r="B70" s="12" t="s">
        <v>253</v>
      </c>
      <c r="C70" s="4" t="s">
        <v>215</v>
      </c>
      <c r="D70" s="4" t="s">
        <v>243</v>
      </c>
      <c r="E70" s="4" t="s">
        <v>28</v>
      </c>
      <c r="F70" s="4" t="s">
        <v>244</v>
      </c>
      <c r="G70" s="4" t="s">
        <v>254</v>
      </c>
      <c r="H70" s="4" t="s">
        <v>246</v>
      </c>
      <c r="I70" s="19">
        <v>39531</v>
      </c>
      <c r="J70" s="13">
        <v>24</v>
      </c>
      <c r="K70" s="13">
        <v>3</v>
      </c>
      <c r="L70" s="20">
        <v>2008</v>
      </c>
      <c r="M70" s="4" t="s">
        <v>56</v>
      </c>
      <c r="N70" s="4">
        <v>12906</v>
      </c>
      <c r="O70" s="4" t="s">
        <v>31</v>
      </c>
      <c r="P70" s="32">
        <v>8770.76</v>
      </c>
      <c r="S70" s="52">
        <v>3</v>
      </c>
      <c r="T70" s="5">
        <v>0</v>
      </c>
      <c r="U70" s="15">
        <v>8769.76</v>
      </c>
      <c r="V70" s="15">
        <v>8769.76</v>
      </c>
      <c r="W70" s="15">
        <f t="shared" si="8"/>
        <v>0</v>
      </c>
      <c r="X70" s="15">
        <f t="shared" si="9"/>
        <v>1</v>
      </c>
      <c r="Y70" s="33">
        <v>10560</v>
      </c>
      <c r="AB70" s="67">
        <f t="shared" si="10"/>
        <v>36</v>
      </c>
    </row>
    <row r="71" spans="1:28" x14ac:dyDescent="0.25">
      <c r="B71" s="12" t="s">
        <v>255</v>
      </c>
      <c r="C71" s="4" t="s">
        <v>248</v>
      </c>
      <c r="D71" s="4" t="s">
        <v>243</v>
      </c>
      <c r="E71" s="4" t="s">
        <v>28</v>
      </c>
      <c r="F71" s="4" t="s">
        <v>244</v>
      </c>
      <c r="G71" s="4" t="s">
        <v>256</v>
      </c>
      <c r="H71" s="4" t="s">
        <v>246</v>
      </c>
      <c r="I71" s="19">
        <v>39531</v>
      </c>
      <c r="J71" s="13">
        <v>24</v>
      </c>
      <c r="K71" s="13">
        <v>3</v>
      </c>
      <c r="L71" s="20">
        <v>2008</v>
      </c>
      <c r="M71" s="4" t="s">
        <v>56</v>
      </c>
      <c r="N71" s="4">
        <v>12906</v>
      </c>
      <c r="O71" s="4" t="s">
        <v>31</v>
      </c>
      <c r="P71" s="32">
        <v>8770.76</v>
      </c>
      <c r="S71" s="52">
        <v>3</v>
      </c>
      <c r="T71" s="5">
        <v>0</v>
      </c>
      <c r="U71" s="15">
        <v>8769.76</v>
      </c>
      <c r="V71" s="15">
        <v>8769.76</v>
      </c>
      <c r="W71" s="15">
        <f t="shared" si="8"/>
        <v>0</v>
      </c>
      <c r="X71" s="15">
        <f t="shared" si="9"/>
        <v>1</v>
      </c>
      <c r="Y71" s="33">
        <v>10560</v>
      </c>
      <c r="AB71" s="67">
        <f t="shared" si="10"/>
        <v>36</v>
      </c>
    </row>
    <row r="72" spans="1:28" x14ac:dyDescent="0.25">
      <c r="B72" s="12" t="s">
        <v>257</v>
      </c>
      <c r="C72" s="4" t="s">
        <v>258</v>
      </c>
      <c r="D72" s="4" t="s">
        <v>243</v>
      </c>
      <c r="E72" s="4" t="s">
        <v>28</v>
      </c>
      <c r="F72" s="4" t="s">
        <v>244</v>
      </c>
      <c r="G72" s="4" t="s">
        <v>259</v>
      </c>
      <c r="H72" s="4" t="s">
        <v>246</v>
      </c>
      <c r="I72" s="19">
        <v>39531</v>
      </c>
      <c r="J72" s="13">
        <v>24</v>
      </c>
      <c r="K72" s="13">
        <v>3</v>
      </c>
      <c r="L72" s="20">
        <v>2008</v>
      </c>
      <c r="M72" s="4" t="s">
        <v>56</v>
      </c>
      <c r="N72" s="4">
        <v>12906</v>
      </c>
      <c r="O72" s="4" t="s">
        <v>31</v>
      </c>
      <c r="P72" s="32">
        <v>8770.76</v>
      </c>
      <c r="S72" s="52">
        <v>3</v>
      </c>
      <c r="T72" s="5">
        <v>0</v>
      </c>
      <c r="U72" s="15">
        <v>8769.76</v>
      </c>
      <c r="V72" s="15">
        <v>8769.76</v>
      </c>
      <c r="W72" s="15">
        <f t="shared" si="8"/>
        <v>0</v>
      </c>
      <c r="X72" s="15">
        <f t="shared" si="9"/>
        <v>1</v>
      </c>
      <c r="Y72" s="33">
        <v>10560</v>
      </c>
      <c r="AB72" s="67">
        <f t="shared" si="10"/>
        <v>36</v>
      </c>
    </row>
    <row r="73" spans="1:28" s="576" customFormat="1" x14ac:dyDescent="0.25">
      <c r="A73" s="4"/>
      <c r="B73" s="12" t="s">
        <v>260</v>
      </c>
      <c r="C73" s="4" t="s">
        <v>261</v>
      </c>
      <c r="D73" s="4" t="s">
        <v>243</v>
      </c>
      <c r="E73" s="4" t="s">
        <v>28</v>
      </c>
      <c r="F73" s="4" t="s">
        <v>244</v>
      </c>
      <c r="G73" s="4" t="s">
        <v>262</v>
      </c>
      <c r="H73" s="4" t="s">
        <v>246</v>
      </c>
      <c r="I73" s="19">
        <v>39531</v>
      </c>
      <c r="J73" s="13">
        <v>24</v>
      </c>
      <c r="K73" s="13">
        <v>3</v>
      </c>
      <c r="L73" s="20">
        <v>2008</v>
      </c>
      <c r="M73" s="4" t="s">
        <v>56</v>
      </c>
      <c r="N73" s="4">
        <v>12906</v>
      </c>
      <c r="O73" s="4" t="s">
        <v>31</v>
      </c>
      <c r="P73" s="32">
        <v>8770.76</v>
      </c>
      <c r="Q73" s="51"/>
      <c r="R73" s="51"/>
      <c r="S73" s="52">
        <v>3</v>
      </c>
      <c r="T73" s="5">
        <v>0</v>
      </c>
      <c r="U73" s="15">
        <v>8769.76</v>
      </c>
      <c r="V73" s="15">
        <v>8769.76</v>
      </c>
      <c r="W73" s="15">
        <f t="shared" si="8"/>
        <v>0</v>
      </c>
      <c r="X73" s="15">
        <f t="shared" si="9"/>
        <v>1</v>
      </c>
      <c r="Y73" s="51">
        <v>10560</v>
      </c>
      <c r="AB73" s="67">
        <f t="shared" si="10"/>
        <v>36</v>
      </c>
    </row>
    <row r="74" spans="1:28" x14ac:dyDescent="0.25">
      <c r="B74" s="12" t="s">
        <v>263</v>
      </c>
      <c r="C74" s="4" t="s">
        <v>264</v>
      </c>
      <c r="D74" s="4" t="s">
        <v>243</v>
      </c>
      <c r="E74" s="4" t="s">
        <v>28</v>
      </c>
      <c r="F74" s="4" t="s">
        <v>244</v>
      </c>
      <c r="G74" s="4" t="s">
        <v>265</v>
      </c>
      <c r="H74" s="4" t="s">
        <v>246</v>
      </c>
      <c r="I74" s="19">
        <v>39531</v>
      </c>
      <c r="J74" s="13">
        <v>24</v>
      </c>
      <c r="K74" s="13">
        <v>3</v>
      </c>
      <c r="L74" s="20">
        <v>2008</v>
      </c>
      <c r="M74" s="4" t="s">
        <v>56</v>
      </c>
      <c r="N74" s="4">
        <v>12906</v>
      </c>
      <c r="O74" s="4" t="s">
        <v>31</v>
      </c>
      <c r="P74" s="32">
        <v>8770.76</v>
      </c>
      <c r="S74" s="52">
        <v>3</v>
      </c>
      <c r="T74" s="5">
        <v>0</v>
      </c>
      <c r="U74" s="15">
        <v>8769.76</v>
      </c>
      <c r="V74" s="15">
        <v>8769.76</v>
      </c>
      <c r="W74" s="15">
        <f t="shared" si="8"/>
        <v>0</v>
      </c>
      <c r="X74" s="15">
        <f t="shared" si="9"/>
        <v>1</v>
      </c>
      <c r="Y74" s="33">
        <v>10560</v>
      </c>
      <c r="AB74" s="67">
        <f t="shared" si="10"/>
        <v>36</v>
      </c>
    </row>
    <row r="75" spans="1:28" x14ac:dyDescent="0.25">
      <c r="B75" s="12" t="s">
        <v>266</v>
      </c>
      <c r="C75" s="4" t="s">
        <v>267</v>
      </c>
      <c r="D75" s="4" t="s">
        <v>243</v>
      </c>
      <c r="E75" s="4" t="s">
        <v>28</v>
      </c>
      <c r="F75" s="4" t="s">
        <v>244</v>
      </c>
      <c r="G75" s="4" t="s">
        <v>268</v>
      </c>
      <c r="H75" s="4" t="s">
        <v>246</v>
      </c>
      <c r="I75" s="19">
        <v>39531</v>
      </c>
      <c r="J75" s="13">
        <v>24</v>
      </c>
      <c r="K75" s="13">
        <v>3</v>
      </c>
      <c r="L75" s="20">
        <v>2008</v>
      </c>
      <c r="M75" s="4" t="s">
        <v>56</v>
      </c>
      <c r="N75" s="4">
        <v>12906</v>
      </c>
      <c r="O75" s="4" t="s">
        <v>31</v>
      </c>
      <c r="P75" s="32">
        <v>8770.76</v>
      </c>
      <c r="S75" s="52">
        <v>3</v>
      </c>
      <c r="T75" s="5">
        <v>0</v>
      </c>
      <c r="U75" s="15">
        <v>8769.76</v>
      </c>
      <c r="V75" s="15">
        <v>8769.76</v>
      </c>
      <c r="W75" s="15">
        <f t="shared" si="8"/>
        <v>0</v>
      </c>
      <c r="X75" s="15">
        <f t="shared" si="9"/>
        <v>1</v>
      </c>
      <c r="Y75" s="33">
        <v>10560</v>
      </c>
      <c r="AB75" s="67">
        <f t="shared" si="10"/>
        <v>36</v>
      </c>
    </row>
    <row r="76" spans="1:28" x14ac:dyDescent="0.25">
      <c r="B76" s="12"/>
      <c r="D76" s="4" t="s">
        <v>243</v>
      </c>
      <c r="E76" s="4" t="s">
        <v>28</v>
      </c>
      <c r="F76" s="4" t="s">
        <v>244</v>
      </c>
      <c r="G76" s="4" t="s">
        <v>269</v>
      </c>
      <c r="H76" s="4" t="s">
        <v>246</v>
      </c>
      <c r="I76" s="19">
        <v>39531</v>
      </c>
      <c r="J76" s="13">
        <v>24</v>
      </c>
      <c r="K76" s="13">
        <v>3</v>
      </c>
      <c r="L76" s="20">
        <v>2008</v>
      </c>
      <c r="M76" s="4" t="s">
        <v>56</v>
      </c>
      <c r="N76" s="4">
        <v>12906</v>
      </c>
      <c r="O76" s="4" t="s">
        <v>31</v>
      </c>
      <c r="P76" s="32">
        <v>8770.76</v>
      </c>
      <c r="S76" s="52">
        <v>3</v>
      </c>
      <c r="T76" s="5">
        <v>0</v>
      </c>
      <c r="U76" s="15">
        <v>8769.76</v>
      </c>
      <c r="V76" s="15">
        <v>8769.76</v>
      </c>
      <c r="W76" s="15">
        <f t="shared" si="8"/>
        <v>0</v>
      </c>
      <c r="X76" s="15">
        <f t="shared" si="9"/>
        <v>1</v>
      </c>
      <c r="Y76" s="33">
        <v>10560</v>
      </c>
      <c r="AB76" s="67">
        <f t="shared" si="10"/>
        <v>36</v>
      </c>
    </row>
    <row r="77" spans="1:28" x14ac:dyDescent="0.25">
      <c r="B77" s="12" t="s">
        <v>270</v>
      </c>
      <c r="C77" s="4" t="s">
        <v>271</v>
      </c>
      <c r="D77" s="4" t="s">
        <v>243</v>
      </c>
      <c r="E77" s="4" t="s">
        <v>28</v>
      </c>
      <c r="F77" s="4" t="s">
        <v>244</v>
      </c>
      <c r="G77" s="4" t="s">
        <v>272</v>
      </c>
      <c r="H77" s="4" t="s">
        <v>246</v>
      </c>
      <c r="I77" s="19">
        <v>39531</v>
      </c>
      <c r="J77" s="13">
        <v>24</v>
      </c>
      <c r="K77" s="13">
        <v>3</v>
      </c>
      <c r="L77" s="20">
        <v>2008</v>
      </c>
      <c r="M77" s="4" t="s">
        <v>56</v>
      </c>
      <c r="N77" s="4">
        <v>12906</v>
      </c>
      <c r="O77" s="4" t="s">
        <v>31</v>
      </c>
      <c r="P77" s="32">
        <v>8770.76</v>
      </c>
      <c r="S77" s="52">
        <v>3</v>
      </c>
      <c r="T77" s="5">
        <v>0</v>
      </c>
      <c r="U77" s="15">
        <v>8769.76</v>
      </c>
      <c r="V77" s="15">
        <v>8769.76</v>
      </c>
      <c r="W77" s="15">
        <f t="shared" si="8"/>
        <v>0</v>
      </c>
      <c r="X77" s="15">
        <f t="shared" si="9"/>
        <v>1</v>
      </c>
      <c r="Y77" s="33">
        <v>10560</v>
      </c>
      <c r="AB77" s="67">
        <f t="shared" si="10"/>
        <v>36</v>
      </c>
    </row>
    <row r="78" spans="1:28" x14ac:dyDescent="0.25">
      <c r="B78" s="12" t="s">
        <v>273</v>
      </c>
      <c r="C78" s="4" t="s">
        <v>274</v>
      </c>
      <c r="D78" s="4" t="s">
        <v>243</v>
      </c>
      <c r="E78" s="4" t="s">
        <v>28</v>
      </c>
      <c r="F78" s="4" t="s">
        <v>244</v>
      </c>
      <c r="G78" s="4" t="s">
        <v>275</v>
      </c>
      <c r="H78" s="4" t="s">
        <v>246</v>
      </c>
      <c r="I78" s="19">
        <v>39531</v>
      </c>
      <c r="J78" s="13">
        <v>24</v>
      </c>
      <c r="K78" s="13">
        <v>3</v>
      </c>
      <c r="L78" s="20">
        <v>2008</v>
      </c>
      <c r="M78" s="4" t="s">
        <v>56</v>
      </c>
      <c r="N78" s="4">
        <v>12906</v>
      </c>
      <c r="O78" s="4" t="s">
        <v>31</v>
      </c>
      <c r="P78" s="32">
        <v>8770.76</v>
      </c>
      <c r="S78" s="52">
        <v>3</v>
      </c>
      <c r="T78" s="5">
        <v>0</v>
      </c>
      <c r="U78" s="15">
        <v>8769.76</v>
      </c>
      <c r="V78" s="15">
        <v>8769.76</v>
      </c>
      <c r="W78" s="15">
        <f t="shared" si="8"/>
        <v>0</v>
      </c>
      <c r="X78" s="15">
        <f t="shared" si="9"/>
        <v>1</v>
      </c>
      <c r="Y78" s="33">
        <v>10560</v>
      </c>
      <c r="AB78" s="67">
        <f t="shared" si="10"/>
        <v>36</v>
      </c>
    </row>
    <row r="79" spans="1:28" x14ac:dyDescent="0.25">
      <c r="A79" s="7"/>
      <c r="B79" s="12" t="s">
        <v>205</v>
      </c>
      <c r="C79" s="4" t="s">
        <v>276</v>
      </c>
      <c r="D79" s="4" t="s">
        <v>243</v>
      </c>
      <c r="E79" s="4" t="s">
        <v>28</v>
      </c>
      <c r="F79" s="4" t="s">
        <v>244</v>
      </c>
      <c r="G79" s="4" t="s">
        <v>277</v>
      </c>
      <c r="H79" s="4" t="s">
        <v>246</v>
      </c>
      <c r="I79" s="19">
        <v>39531</v>
      </c>
      <c r="J79" s="13">
        <v>24</v>
      </c>
      <c r="K79" s="13">
        <v>3</v>
      </c>
      <c r="L79" s="20">
        <v>2008</v>
      </c>
      <c r="M79" s="4" t="s">
        <v>56</v>
      </c>
      <c r="N79" s="4">
        <v>12906</v>
      </c>
      <c r="O79" s="4" t="s">
        <v>31</v>
      </c>
      <c r="P79" s="32">
        <v>8770.76</v>
      </c>
      <c r="S79" s="52">
        <v>3</v>
      </c>
      <c r="T79" s="5">
        <v>0</v>
      </c>
      <c r="U79" s="15">
        <v>8769.76</v>
      </c>
      <c r="V79" s="15">
        <v>8769.76</v>
      </c>
      <c r="W79" s="15">
        <f t="shared" si="8"/>
        <v>0</v>
      </c>
      <c r="X79" s="15">
        <f t="shared" si="9"/>
        <v>1</v>
      </c>
      <c r="Y79" s="33">
        <v>10560</v>
      </c>
      <c r="AB79" s="67">
        <f t="shared" si="10"/>
        <v>36</v>
      </c>
    </row>
    <row r="80" spans="1:28" x14ac:dyDescent="0.25">
      <c r="A80" s="7"/>
      <c r="B80" s="12" t="s">
        <v>278</v>
      </c>
      <c r="C80" s="4" t="s">
        <v>279</v>
      </c>
      <c r="D80" s="4" t="s">
        <v>243</v>
      </c>
      <c r="E80" s="4" t="s">
        <v>28</v>
      </c>
      <c r="F80" s="4" t="s">
        <v>244</v>
      </c>
      <c r="G80" s="4" t="s">
        <v>280</v>
      </c>
      <c r="H80" s="4" t="s">
        <v>246</v>
      </c>
      <c r="I80" s="19">
        <v>39531</v>
      </c>
      <c r="J80" s="13">
        <v>24</v>
      </c>
      <c r="K80" s="13">
        <v>3</v>
      </c>
      <c r="L80" s="20">
        <v>2008</v>
      </c>
      <c r="M80" s="4" t="s">
        <v>56</v>
      </c>
      <c r="N80" s="4">
        <v>12906</v>
      </c>
      <c r="O80" s="4" t="s">
        <v>31</v>
      </c>
      <c r="P80" s="32">
        <v>8770.76</v>
      </c>
      <c r="S80" s="52">
        <v>3</v>
      </c>
      <c r="T80" s="5">
        <v>0</v>
      </c>
      <c r="U80" s="15">
        <v>8769.76</v>
      </c>
      <c r="V80" s="15">
        <v>8769.76</v>
      </c>
      <c r="W80" s="15">
        <f t="shared" si="8"/>
        <v>0</v>
      </c>
      <c r="X80" s="15">
        <f t="shared" si="9"/>
        <v>1</v>
      </c>
      <c r="Y80" s="33">
        <v>10560</v>
      </c>
      <c r="AB80" s="67">
        <f t="shared" si="10"/>
        <v>36</v>
      </c>
    </row>
    <row r="81" spans="1:28" x14ac:dyDescent="0.25">
      <c r="A81" s="7"/>
      <c r="B81" s="12" t="s">
        <v>281</v>
      </c>
      <c r="C81" s="4" t="s">
        <v>282</v>
      </c>
      <c r="D81" s="4" t="s">
        <v>243</v>
      </c>
      <c r="E81" s="4" t="s">
        <v>28</v>
      </c>
      <c r="F81" s="4" t="s">
        <v>244</v>
      </c>
      <c r="G81" s="4" t="s">
        <v>283</v>
      </c>
      <c r="H81" s="4" t="s">
        <v>246</v>
      </c>
      <c r="I81" s="19">
        <v>39531</v>
      </c>
      <c r="J81" s="13">
        <v>24</v>
      </c>
      <c r="K81" s="13">
        <v>3</v>
      </c>
      <c r="L81" s="20">
        <v>2008</v>
      </c>
      <c r="M81" s="4" t="s">
        <v>56</v>
      </c>
      <c r="N81" s="4">
        <v>12906</v>
      </c>
      <c r="O81" s="4" t="s">
        <v>31</v>
      </c>
      <c r="P81" s="32">
        <v>8770.76</v>
      </c>
      <c r="S81" s="52">
        <v>3</v>
      </c>
      <c r="T81" s="5">
        <v>0</v>
      </c>
      <c r="U81" s="15">
        <v>8769.76</v>
      </c>
      <c r="V81" s="15">
        <v>8769.76</v>
      </c>
      <c r="W81" s="15">
        <f t="shared" si="8"/>
        <v>0</v>
      </c>
      <c r="X81" s="15">
        <f t="shared" si="9"/>
        <v>1</v>
      </c>
      <c r="Y81" s="33">
        <v>10560</v>
      </c>
      <c r="AB81" s="67">
        <f t="shared" si="10"/>
        <v>36</v>
      </c>
    </row>
    <row r="82" spans="1:28" x14ac:dyDescent="0.25">
      <c r="A82" s="7"/>
      <c r="B82" s="12" t="s">
        <v>284</v>
      </c>
      <c r="C82" s="4" t="s">
        <v>285</v>
      </c>
      <c r="D82" s="4" t="s">
        <v>243</v>
      </c>
      <c r="E82" s="4" t="s">
        <v>28</v>
      </c>
      <c r="F82" s="4" t="s">
        <v>244</v>
      </c>
      <c r="G82" s="4" t="s">
        <v>286</v>
      </c>
      <c r="H82" s="4" t="s">
        <v>246</v>
      </c>
      <c r="I82" s="19">
        <v>39531</v>
      </c>
      <c r="J82" s="13">
        <v>24</v>
      </c>
      <c r="K82" s="13">
        <v>3</v>
      </c>
      <c r="L82" s="20">
        <v>2008</v>
      </c>
      <c r="M82" s="4" t="s">
        <v>56</v>
      </c>
      <c r="N82" s="4">
        <v>12906</v>
      </c>
      <c r="O82" s="4" t="s">
        <v>31</v>
      </c>
      <c r="P82" s="32">
        <v>8770.76</v>
      </c>
      <c r="S82" s="52">
        <v>3</v>
      </c>
      <c r="T82" s="5">
        <v>0</v>
      </c>
      <c r="U82" s="15">
        <v>8769.76</v>
      </c>
      <c r="V82" s="15">
        <v>8769.76</v>
      </c>
      <c r="W82" s="15">
        <f t="shared" si="8"/>
        <v>0</v>
      </c>
      <c r="X82" s="15">
        <f t="shared" si="9"/>
        <v>1</v>
      </c>
      <c r="Y82" s="33">
        <v>10560</v>
      </c>
      <c r="AB82" s="67">
        <f t="shared" si="10"/>
        <v>36</v>
      </c>
    </row>
    <row r="83" spans="1:28" x14ac:dyDescent="0.25">
      <c r="A83" s="7"/>
      <c r="B83" s="12" t="s">
        <v>287</v>
      </c>
      <c r="C83" s="4" t="s">
        <v>288</v>
      </c>
      <c r="D83" s="4" t="s">
        <v>243</v>
      </c>
      <c r="E83" s="4" t="s">
        <v>28</v>
      </c>
      <c r="F83" s="4" t="s">
        <v>244</v>
      </c>
      <c r="G83" s="4" t="s">
        <v>289</v>
      </c>
      <c r="H83" s="4" t="s">
        <v>246</v>
      </c>
      <c r="I83" s="19">
        <v>39531</v>
      </c>
      <c r="J83" s="13">
        <v>24</v>
      </c>
      <c r="K83" s="13">
        <v>3</v>
      </c>
      <c r="L83" s="20">
        <v>2008</v>
      </c>
      <c r="M83" s="4" t="s">
        <v>56</v>
      </c>
      <c r="N83" s="4">
        <v>12906</v>
      </c>
      <c r="O83" s="4" t="s">
        <v>31</v>
      </c>
      <c r="P83" s="32">
        <v>8770.76</v>
      </c>
      <c r="S83" s="52">
        <v>3</v>
      </c>
      <c r="T83" s="5">
        <v>0</v>
      </c>
      <c r="U83" s="15">
        <v>8769.76</v>
      </c>
      <c r="V83" s="15">
        <v>8769.76</v>
      </c>
      <c r="W83" s="15">
        <f t="shared" si="8"/>
        <v>0</v>
      </c>
      <c r="X83" s="15">
        <f t="shared" si="9"/>
        <v>1</v>
      </c>
      <c r="Y83" s="33">
        <v>10560</v>
      </c>
      <c r="AB83" s="67">
        <f t="shared" si="10"/>
        <v>36</v>
      </c>
    </row>
    <row r="84" spans="1:28" x14ac:dyDescent="0.25">
      <c r="A84" s="7"/>
      <c r="B84" s="12" t="s">
        <v>290</v>
      </c>
      <c r="C84" s="4" t="s">
        <v>291</v>
      </c>
      <c r="D84" s="4" t="s">
        <v>243</v>
      </c>
      <c r="E84" s="4" t="s">
        <v>28</v>
      </c>
      <c r="F84" s="4" t="s">
        <v>244</v>
      </c>
      <c r="G84" s="4" t="s">
        <v>292</v>
      </c>
      <c r="H84" s="4" t="s">
        <v>246</v>
      </c>
      <c r="I84" s="19">
        <v>39531</v>
      </c>
      <c r="J84" s="13">
        <v>24</v>
      </c>
      <c r="K84" s="13">
        <v>3</v>
      </c>
      <c r="L84" s="20">
        <v>2008</v>
      </c>
      <c r="M84" s="4" t="s">
        <v>56</v>
      </c>
      <c r="N84" s="4">
        <v>12906</v>
      </c>
      <c r="O84" s="4" t="s">
        <v>31</v>
      </c>
      <c r="P84" s="32">
        <v>8770.76</v>
      </c>
      <c r="S84" s="52">
        <v>3</v>
      </c>
      <c r="T84" s="5">
        <v>0</v>
      </c>
      <c r="U84" s="15">
        <v>8769.76</v>
      </c>
      <c r="V84" s="15">
        <v>8769.76</v>
      </c>
      <c r="W84" s="15">
        <f t="shared" si="8"/>
        <v>0</v>
      </c>
      <c r="X84" s="15">
        <f t="shared" si="9"/>
        <v>1</v>
      </c>
      <c r="Y84" s="33">
        <v>10560</v>
      </c>
      <c r="AB84" s="67">
        <f t="shared" si="10"/>
        <v>36</v>
      </c>
    </row>
    <row r="85" spans="1:28" x14ac:dyDescent="0.25">
      <c r="A85" s="7"/>
      <c r="B85" s="12" t="s">
        <v>293</v>
      </c>
      <c r="C85" s="4" t="s">
        <v>294</v>
      </c>
      <c r="D85" s="4" t="s">
        <v>243</v>
      </c>
      <c r="E85" s="4" t="s">
        <v>28</v>
      </c>
      <c r="F85" s="4" t="s">
        <v>244</v>
      </c>
      <c r="G85" s="4" t="s">
        <v>295</v>
      </c>
      <c r="H85" s="4" t="s">
        <v>246</v>
      </c>
      <c r="I85" s="19">
        <v>39531</v>
      </c>
      <c r="J85" s="13">
        <v>24</v>
      </c>
      <c r="K85" s="13">
        <v>3</v>
      </c>
      <c r="L85" s="20">
        <v>2008</v>
      </c>
      <c r="M85" s="4" t="s">
        <v>56</v>
      </c>
      <c r="N85" s="4">
        <v>12906</v>
      </c>
      <c r="O85" s="4" t="s">
        <v>31</v>
      </c>
      <c r="P85" s="32">
        <v>8770.76</v>
      </c>
      <c r="S85" s="52">
        <v>3</v>
      </c>
      <c r="T85" s="5">
        <v>0</v>
      </c>
      <c r="U85" s="15">
        <v>8769.76</v>
      </c>
      <c r="V85" s="15">
        <v>8769.76</v>
      </c>
      <c r="W85" s="15">
        <f t="shared" si="8"/>
        <v>0</v>
      </c>
      <c r="X85" s="15">
        <f t="shared" si="9"/>
        <v>1</v>
      </c>
      <c r="Y85" s="33">
        <v>10560</v>
      </c>
      <c r="AB85" s="67">
        <f t="shared" si="10"/>
        <v>36</v>
      </c>
    </row>
    <row r="86" spans="1:28" x14ac:dyDescent="0.25">
      <c r="A86" s="7"/>
      <c r="B86" s="12" t="s">
        <v>296</v>
      </c>
      <c r="C86" s="4" t="s">
        <v>297</v>
      </c>
      <c r="D86" s="4" t="s">
        <v>243</v>
      </c>
      <c r="E86" s="4" t="s">
        <v>28</v>
      </c>
      <c r="F86" s="4" t="s">
        <v>244</v>
      </c>
      <c r="G86" s="4" t="s">
        <v>298</v>
      </c>
      <c r="H86" s="4" t="s">
        <v>246</v>
      </c>
      <c r="I86" s="19">
        <v>39531</v>
      </c>
      <c r="J86" s="13">
        <v>24</v>
      </c>
      <c r="K86" s="13">
        <v>3</v>
      </c>
      <c r="L86" s="20">
        <v>2008</v>
      </c>
      <c r="M86" s="4" t="s">
        <v>56</v>
      </c>
      <c r="N86" s="4">
        <v>12906</v>
      </c>
      <c r="O86" s="4" t="s">
        <v>31</v>
      </c>
      <c r="P86" s="32">
        <v>8770.76</v>
      </c>
      <c r="S86" s="52">
        <v>3</v>
      </c>
      <c r="T86" s="5">
        <v>0</v>
      </c>
      <c r="U86" s="15">
        <v>8769.76</v>
      </c>
      <c r="V86" s="15">
        <v>8769.76</v>
      </c>
      <c r="W86" s="15">
        <f t="shared" si="8"/>
        <v>0</v>
      </c>
      <c r="X86" s="15">
        <f t="shared" si="9"/>
        <v>1</v>
      </c>
      <c r="Y86" s="33">
        <v>10560</v>
      </c>
      <c r="AB86" s="67">
        <f t="shared" si="10"/>
        <v>36</v>
      </c>
    </row>
    <row r="87" spans="1:28" s="576" customFormat="1" x14ac:dyDescent="0.25">
      <c r="B87" s="12" t="s">
        <v>299</v>
      </c>
      <c r="C87" s="4" t="s">
        <v>300</v>
      </c>
      <c r="D87" s="4" t="s">
        <v>243</v>
      </c>
      <c r="E87" s="4" t="s">
        <v>28</v>
      </c>
      <c r="F87" s="4" t="s">
        <v>244</v>
      </c>
      <c r="G87" s="4" t="s">
        <v>301</v>
      </c>
      <c r="H87" s="4" t="s">
        <v>246</v>
      </c>
      <c r="I87" s="19">
        <v>39531</v>
      </c>
      <c r="J87" s="13">
        <v>24</v>
      </c>
      <c r="K87" s="13">
        <v>3</v>
      </c>
      <c r="L87" s="20">
        <v>2008</v>
      </c>
      <c r="M87" s="4" t="s">
        <v>56</v>
      </c>
      <c r="N87" s="4">
        <v>12906</v>
      </c>
      <c r="O87" s="4" t="s">
        <v>31</v>
      </c>
      <c r="P87" s="32">
        <v>8770.76</v>
      </c>
      <c r="Q87" s="51"/>
      <c r="R87" s="51"/>
      <c r="S87" s="52">
        <v>3</v>
      </c>
      <c r="T87" s="5">
        <v>0</v>
      </c>
      <c r="U87" s="15">
        <v>8769.76</v>
      </c>
      <c r="V87" s="15">
        <v>8769.76</v>
      </c>
      <c r="W87" s="15">
        <f t="shared" si="8"/>
        <v>0</v>
      </c>
      <c r="X87" s="15">
        <f t="shared" si="9"/>
        <v>1</v>
      </c>
      <c r="Y87" s="51">
        <v>10560</v>
      </c>
      <c r="AB87" s="67">
        <f t="shared" si="10"/>
        <v>36</v>
      </c>
    </row>
    <row r="88" spans="1:28" x14ac:dyDescent="0.25">
      <c r="A88" s="7"/>
      <c r="B88" s="12" t="s">
        <v>302</v>
      </c>
      <c r="C88" s="4" t="s">
        <v>303</v>
      </c>
      <c r="D88" s="4" t="s">
        <v>243</v>
      </c>
      <c r="E88" s="4" t="s">
        <v>28</v>
      </c>
      <c r="F88" s="4" t="s">
        <v>244</v>
      </c>
      <c r="G88" s="4" t="s">
        <v>304</v>
      </c>
      <c r="H88" s="4" t="s">
        <v>246</v>
      </c>
      <c r="I88" s="19">
        <v>39531</v>
      </c>
      <c r="J88" s="13">
        <v>24</v>
      </c>
      <c r="K88" s="13">
        <v>3</v>
      </c>
      <c r="L88" s="20">
        <v>2008</v>
      </c>
      <c r="M88" s="4" t="s">
        <v>56</v>
      </c>
      <c r="N88" s="4">
        <v>12906</v>
      </c>
      <c r="O88" s="4" t="s">
        <v>31</v>
      </c>
      <c r="P88" s="32">
        <v>8770.76</v>
      </c>
      <c r="S88" s="52">
        <v>3</v>
      </c>
      <c r="T88" s="5">
        <v>0</v>
      </c>
      <c r="U88" s="15">
        <v>8769.76</v>
      </c>
      <c r="V88" s="15">
        <v>8769.76</v>
      </c>
      <c r="W88" s="15">
        <f t="shared" si="8"/>
        <v>0</v>
      </c>
      <c r="X88" s="15">
        <f t="shared" si="9"/>
        <v>1</v>
      </c>
      <c r="Y88" s="33">
        <v>10560</v>
      </c>
      <c r="AB88" s="67">
        <f t="shared" si="10"/>
        <v>36</v>
      </c>
    </row>
    <row r="89" spans="1:28" x14ac:dyDescent="0.25">
      <c r="A89" s="7"/>
      <c r="B89" s="12" t="s">
        <v>305</v>
      </c>
      <c r="C89" s="4" t="s">
        <v>306</v>
      </c>
      <c r="D89" s="4" t="s">
        <v>243</v>
      </c>
      <c r="E89" s="4" t="s">
        <v>28</v>
      </c>
      <c r="F89" s="4" t="s">
        <v>244</v>
      </c>
      <c r="G89" s="4" t="s">
        <v>307</v>
      </c>
      <c r="H89" s="4" t="s">
        <v>246</v>
      </c>
      <c r="I89" s="19">
        <v>39531</v>
      </c>
      <c r="J89" s="13">
        <v>24</v>
      </c>
      <c r="K89" s="13">
        <v>3</v>
      </c>
      <c r="L89" s="20">
        <v>2008</v>
      </c>
      <c r="M89" s="4" t="s">
        <v>56</v>
      </c>
      <c r="N89" s="4">
        <v>12906</v>
      </c>
      <c r="O89" s="4" t="s">
        <v>31</v>
      </c>
      <c r="P89" s="32">
        <v>8770.76</v>
      </c>
      <c r="S89" s="52">
        <v>3</v>
      </c>
      <c r="T89" s="5">
        <v>0</v>
      </c>
      <c r="U89" s="15">
        <v>8769.76</v>
      </c>
      <c r="V89" s="15">
        <v>8769.76</v>
      </c>
      <c r="W89" s="15">
        <f t="shared" si="8"/>
        <v>0</v>
      </c>
      <c r="X89" s="15">
        <f t="shared" si="9"/>
        <v>1</v>
      </c>
      <c r="Y89" s="33">
        <v>10560</v>
      </c>
      <c r="AB89" s="67">
        <f t="shared" si="10"/>
        <v>36</v>
      </c>
    </row>
    <row r="90" spans="1:28" x14ac:dyDescent="0.25">
      <c r="A90" s="7"/>
      <c r="B90" s="12" t="s">
        <v>308</v>
      </c>
      <c r="C90" s="4" t="s">
        <v>309</v>
      </c>
      <c r="D90" s="4" t="s">
        <v>243</v>
      </c>
      <c r="E90" s="4" t="s">
        <v>28</v>
      </c>
      <c r="F90" s="4" t="s">
        <v>244</v>
      </c>
      <c r="G90" s="4" t="s">
        <v>310</v>
      </c>
      <c r="H90" s="4" t="s">
        <v>246</v>
      </c>
      <c r="I90" s="19">
        <v>39531</v>
      </c>
      <c r="J90" s="13">
        <v>24</v>
      </c>
      <c r="K90" s="13">
        <v>3</v>
      </c>
      <c r="L90" s="20">
        <v>2008</v>
      </c>
      <c r="M90" s="4" t="s">
        <v>56</v>
      </c>
      <c r="N90" s="4">
        <v>12906</v>
      </c>
      <c r="O90" s="4" t="s">
        <v>31</v>
      </c>
      <c r="P90" s="32">
        <v>8770.76</v>
      </c>
      <c r="S90" s="52">
        <v>3</v>
      </c>
      <c r="T90" s="5">
        <v>0</v>
      </c>
      <c r="U90" s="15">
        <v>8769.76</v>
      </c>
      <c r="V90" s="15">
        <v>8769.76</v>
      </c>
      <c r="W90" s="15">
        <f t="shared" si="8"/>
        <v>0</v>
      </c>
      <c r="X90" s="15">
        <f t="shared" si="9"/>
        <v>1</v>
      </c>
      <c r="Y90" s="33">
        <v>10560</v>
      </c>
      <c r="AB90" s="67">
        <f t="shared" si="10"/>
        <v>36</v>
      </c>
    </row>
    <row r="91" spans="1:28" x14ac:dyDescent="0.25">
      <c r="A91" s="7"/>
      <c r="B91" s="12" t="s">
        <v>311</v>
      </c>
      <c r="C91" s="4" t="s">
        <v>187</v>
      </c>
      <c r="D91" s="4" t="s">
        <v>243</v>
      </c>
      <c r="E91" s="4" t="s">
        <v>28</v>
      </c>
      <c r="F91" s="4" t="s">
        <v>244</v>
      </c>
      <c r="G91" s="4" t="s">
        <v>312</v>
      </c>
      <c r="H91" s="4" t="s">
        <v>246</v>
      </c>
      <c r="I91" s="19">
        <v>39531</v>
      </c>
      <c r="J91" s="13">
        <v>24</v>
      </c>
      <c r="K91" s="13">
        <v>3</v>
      </c>
      <c r="L91" s="20">
        <v>2008</v>
      </c>
      <c r="M91" s="4" t="s">
        <v>56</v>
      </c>
      <c r="N91" s="4">
        <v>12906</v>
      </c>
      <c r="O91" s="4" t="s">
        <v>31</v>
      </c>
      <c r="P91" s="32">
        <v>8770.76</v>
      </c>
      <c r="S91" s="52">
        <v>3</v>
      </c>
      <c r="T91" s="5">
        <v>0</v>
      </c>
      <c r="U91" s="15">
        <v>8769.76</v>
      </c>
      <c r="V91" s="15">
        <v>8769.76</v>
      </c>
      <c r="W91" s="15">
        <f t="shared" si="8"/>
        <v>0</v>
      </c>
      <c r="X91" s="15">
        <f t="shared" si="9"/>
        <v>1</v>
      </c>
      <c r="Y91" s="33">
        <v>10560</v>
      </c>
      <c r="AB91" s="67">
        <f t="shared" si="10"/>
        <v>36</v>
      </c>
    </row>
    <row r="92" spans="1:28" x14ac:dyDescent="0.25">
      <c r="A92" s="7"/>
      <c r="B92" s="12"/>
      <c r="C92" s="7"/>
      <c r="D92" s="4" t="s">
        <v>93</v>
      </c>
      <c r="E92" s="4" t="s">
        <v>28</v>
      </c>
      <c r="F92" s="4" t="s">
        <v>313</v>
      </c>
      <c r="G92" s="4" t="s">
        <v>314</v>
      </c>
      <c r="H92" s="4" t="s">
        <v>246</v>
      </c>
      <c r="I92" s="19">
        <v>39531</v>
      </c>
      <c r="J92" s="13">
        <v>24</v>
      </c>
      <c r="K92" s="13">
        <v>3</v>
      </c>
      <c r="L92" s="20">
        <v>2008</v>
      </c>
      <c r="M92" s="4" t="s">
        <v>56</v>
      </c>
      <c r="N92" s="4">
        <v>12906</v>
      </c>
      <c r="O92" s="4" t="s">
        <v>31</v>
      </c>
      <c r="P92" s="32">
        <v>59375.76</v>
      </c>
      <c r="S92" s="52">
        <v>3</v>
      </c>
      <c r="T92" s="5">
        <v>0</v>
      </c>
      <c r="U92" s="15">
        <v>59374.759999999995</v>
      </c>
      <c r="V92" s="15">
        <v>59374.759999999995</v>
      </c>
      <c r="W92" s="15">
        <f t="shared" si="8"/>
        <v>0</v>
      </c>
      <c r="X92" s="15">
        <f t="shared" si="9"/>
        <v>1</v>
      </c>
      <c r="Y92" s="33">
        <v>10560</v>
      </c>
      <c r="AB92" s="67">
        <f t="shared" si="10"/>
        <v>36</v>
      </c>
    </row>
    <row r="93" spans="1:28" x14ac:dyDescent="0.25">
      <c r="A93" s="7"/>
      <c r="B93" s="12" t="s">
        <v>205</v>
      </c>
      <c r="C93" s="4" t="s">
        <v>102</v>
      </c>
      <c r="D93" s="4" t="s">
        <v>58</v>
      </c>
      <c r="E93" s="4" t="s">
        <v>28</v>
      </c>
      <c r="F93" s="4" t="s">
        <v>315</v>
      </c>
      <c r="G93" s="4" t="s">
        <v>316</v>
      </c>
      <c r="H93" s="4" t="s">
        <v>246</v>
      </c>
      <c r="I93" s="19">
        <v>39531</v>
      </c>
      <c r="J93" s="13">
        <v>24</v>
      </c>
      <c r="K93" s="13">
        <v>3</v>
      </c>
      <c r="L93" s="20">
        <v>2008</v>
      </c>
      <c r="M93" s="4" t="s">
        <v>56</v>
      </c>
      <c r="N93" s="4">
        <v>12906</v>
      </c>
      <c r="O93" s="4" t="s">
        <v>31</v>
      </c>
      <c r="P93" s="32">
        <v>37469.160000000003</v>
      </c>
      <c r="S93" s="52">
        <v>3</v>
      </c>
      <c r="T93" s="5">
        <v>0</v>
      </c>
      <c r="U93" s="15">
        <v>37468.160000000003</v>
      </c>
      <c r="V93" s="15">
        <v>37468.160000000003</v>
      </c>
      <c r="W93" s="15">
        <f t="shared" si="8"/>
        <v>0</v>
      </c>
      <c r="X93" s="15">
        <f t="shared" si="9"/>
        <v>1</v>
      </c>
      <c r="Y93" s="33">
        <v>10560</v>
      </c>
      <c r="AB93" s="67">
        <f t="shared" si="10"/>
        <v>36</v>
      </c>
    </row>
    <row r="94" spans="1:28" x14ac:dyDescent="0.25">
      <c r="A94" s="7"/>
      <c r="B94" s="12" t="s">
        <v>317</v>
      </c>
      <c r="C94" s="4" t="s">
        <v>242</v>
      </c>
      <c r="D94" s="4" t="s">
        <v>318</v>
      </c>
      <c r="E94" s="4" t="s">
        <v>28</v>
      </c>
      <c r="F94" s="4" t="s">
        <v>319</v>
      </c>
      <c r="G94" s="4" t="s">
        <v>320</v>
      </c>
      <c r="H94" s="4" t="s">
        <v>246</v>
      </c>
      <c r="I94" s="19">
        <v>39531</v>
      </c>
      <c r="J94" s="13">
        <v>24</v>
      </c>
      <c r="K94" s="13">
        <v>3</v>
      </c>
      <c r="L94" s="20">
        <v>2008</v>
      </c>
      <c r="M94" s="4" t="s">
        <v>56</v>
      </c>
      <c r="N94" s="4">
        <v>12906</v>
      </c>
      <c r="O94" s="4" t="s">
        <v>31</v>
      </c>
      <c r="P94" s="32">
        <v>35995.379999999997</v>
      </c>
      <c r="S94" s="52">
        <v>3</v>
      </c>
      <c r="T94" s="5">
        <v>0</v>
      </c>
      <c r="U94" s="15">
        <v>35994.379999999997</v>
      </c>
      <c r="V94" s="15">
        <v>35994.379999999997</v>
      </c>
      <c r="W94" s="15">
        <f t="shared" si="8"/>
        <v>0</v>
      </c>
      <c r="X94" s="15">
        <f t="shared" si="9"/>
        <v>1</v>
      </c>
      <c r="Y94" s="33">
        <v>10560</v>
      </c>
      <c r="AB94" s="67">
        <f t="shared" si="10"/>
        <v>36</v>
      </c>
    </row>
    <row r="95" spans="1:28" x14ac:dyDescent="0.25">
      <c r="A95" s="7"/>
      <c r="B95" s="12" t="s">
        <v>321</v>
      </c>
      <c r="C95" s="4" t="s">
        <v>322</v>
      </c>
      <c r="D95" s="4" t="s">
        <v>318</v>
      </c>
      <c r="E95" s="4" t="s">
        <v>28</v>
      </c>
      <c r="F95" s="4" t="s">
        <v>319</v>
      </c>
      <c r="G95" s="4" t="s">
        <v>323</v>
      </c>
      <c r="H95" s="4" t="s">
        <v>246</v>
      </c>
      <c r="I95" s="19">
        <v>39531</v>
      </c>
      <c r="J95" s="13">
        <v>24</v>
      </c>
      <c r="K95" s="13">
        <v>3</v>
      </c>
      <c r="L95" s="20">
        <v>2008</v>
      </c>
      <c r="M95" s="4" t="s">
        <v>56</v>
      </c>
      <c r="N95" s="4">
        <v>12906</v>
      </c>
      <c r="O95" s="4" t="s">
        <v>31</v>
      </c>
      <c r="P95" s="32">
        <v>35995.379999999997</v>
      </c>
      <c r="S95" s="52">
        <v>3</v>
      </c>
      <c r="T95" s="5">
        <v>0</v>
      </c>
      <c r="U95" s="15">
        <v>35994.379999999997</v>
      </c>
      <c r="V95" s="15">
        <v>35994.379999999997</v>
      </c>
      <c r="W95" s="15">
        <f t="shared" si="8"/>
        <v>0</v>
      </c>
      <c r="X95" s="15">
        <f t="shared" si="9"/>
        <v>1</v>
      </c>
      <c r="Y95" s="33">
        <v>10560</v>
      </c>
      <c r="AB95" s="67">
        <f t="shared" si="10"/>
        <v>36</v>
      </c>
    </row>
    <row r="96" spans="1:28" x14ac:dyDescent="0.25">
      <c r="A96" s="7"/>
      <c r="B96" s="12" t="s">
        <v>324</v>
      </c>
      <c r="C96" s="4" t="s">
        <v>325</v>
      </c>
      <c r="D96" s="4" t="s">
        <v>318</v>
      </c>
      <c r="E96" s="4" t="s">
        <v>28</v>
      </c>
      <c r="F96" s="4" t="s">
        <v>319</v>
      </c>
      <c r="G96" s="4" t="s">
        <v>326</v>
      </c>
      <c r="H96" s="4" t="s">
        <v>246</v>
      </c>
      <c r="I96" s="19">
        <v>39531</v>
      </c>
      <c r="J96" s="13">
        <v>24</v>
      </c>
      <c r="K96" s="13">
        <v>3</v>
      </c>
      <c r="L96" s="20">
        <v>2008</v>
      </c>
      <c r="M96" s="4" t="s">
        <v>56</v>
      </c>
      <c r="N96" s="4">
        <v>12906</v>
      </c>
      <c r="O96" s="4" t="s">
        <v>31</v>
      </c>
      <c r="P96" s="32">
        <v>35995.379999999997</v>
      </c>
      <c r="S96" s="52">
        <v>3</v>
      </c>
      <c r="T96" s="5">
        <v>0</v>
      </c>
      <c r="U96" s="15">
        <v>35994.379999999997</v>
      </c>
      <c r="V96" s="15">
        <v>35994.379999999997</v>
      </c>
      <c r="W96" s="15">
        <f t="shared" si="8"/>
        <v>0</v>
      </c>
      <c r="X96" s="15">
        <f t="shared" si="9"/>
        <v>1</v>
      </c>
      <c r="Y96" s="33">
        <v>10560</v>
      </c>
      <c r="AB96" s="67">
        <f t="shared" si="10"/>
        <v>36</v>
      </c>
    </row>
    <row r="97" spans="1:28" x14ac:dyDescent="0.25">
      <c r="A97" s="7"/>
      <c r="B97" s="12" t="s">
        <v>327</v>
      </c>
      <c r="C97" s="4" t="s">
        <v>328</v>
      </c>
      <c r="D97" s="4" t="s">
        <v>318</v>
      </c>
      <c r="E97" s="4" t="s">
        <v>28</v>
      </c>
      <c r="F97" s="4" t="s">
        <v>319</v>
      </c>
      <c r="G97" s="4" t="s">
        <v>329</v>
      </c>
      <c r="H97" s="4" t="s">
        <v>246</v>
      </c>
      <c r="I97" s="19">
        <v>39531</v>
      </c>
      <c r="J97" s="13">
        <v>24</v>
      </c>
      <c r="K97" s="13">
        <v>3</v>
      </c>
      <c r="L97" s="20">
        <v>2008</v>
      </c>
      <c r="M97" s="4" t="s">
        <v>56</v>
      </c>
      <c r="N97" s="4">
        <v>12906</v>
      </c>
      <c r="O97" s="4" t="s">
        <v>31</v>
      </c>
      <c r="P97" s="32">
        <v>35995.379999999997</v>
      </c>
      <c r="S97" s="52">
        <v>3</v>
      </c>
      <c r="T97" s="5">
        <v>0</v>
      </c>
      <c r="U97" s="15">
        <v>35994.379999999997</v>
      </c>
      <c r="V97" s="15">
        <v>35994.379999999997</v>
      </c>
      <c r="W97" s="15">
        <f t="shared" si="8"/>
        <v>0</v>
      </c>
      <c r="X97" s="15">
        <f t="shared" si="9"/>
        <v>1</v>
      </c>
      <c r="Y97" s="33">
        <v>10560</v>
      </c>
      <c r="AB97" s="67">
        <f t="shared" si="10"/>
        <v>36</v>
      </c>
    </row>
    <row r="98" spans="1:28" x14ac:dyDescent="0.25">
      <c r="A98" s="7"/>
      <c r="B98" s="12" t="s">
        <v>330</v>
      </c>
      <c r="C98" s="4" t="s">
        <v>258</v>
      </c>
      <c r="D98" s="4" t="s">
        <v>318</v>
      </c>
      <c r="E98" s="4" t="s">
        <v>28</v>
      </c>
      <c r="F98" s="4" t="s">
        <v>319</v>
      </c>
      <c r="G98" s="4" t="s">
        <v>331</v>
      </c>
      <c r="H98" s="4" t="s">
        <v>246</v>
      </c>
      <c r="I98" s="19">
        <v>39531</v>
      </c>
      <c r="J98" s="13">
        <v>24</v>
      </c>
      <c r="K98" s="13">
        <v>3</v>
      </c>
      <c r="L98" s="20">
        <v>2008</v>
      </c>
      <c r="M98" s="4" t="s">
        <v>56</v>
      </c>
      <c r="N98" s="4">
        <v>12906</v>
      </c>
      <c r="O98" s="4" t="s">
        <v>31</v>
      </c>
      <c r="P98" s="32">
        <v>35995.379999999997</v>
      </c>
      <c r="S98" s="52">
        <v>3</v>
      </c>
      <c r="T98" s="5">
        <v>0</v>
      </c>
      <c r="U98" s="15">
        <v>35994.379999999997</v>
      </c>
      <c r="V98" s="15">
        <v>35994.379999999997</v>
      </c>
      <c r="W98" s="15">
        <f t="shared" si="8"/>
        <v>0</v>
      </c>
      <c r="X98" s="15">
        <f t="shared" si="9"/>
        <v>1</v>
      </c>
      <c r="Y98" s="33">
        <v>10560</v>
      </c>
      <c r="AB98" s="67">
        <f t="shared" si="10"/>
        <v>36</v>
      </c>
    </row>
    <row r="99" spans="1:28" x14ac:dyDescent="0.25">
      <c r="A99" s="7"/>
      <c r="B99" s="12" t="s">
        <v>332</v>
      </c>
      <c r="C99" s="4" t="s">
        <v>333</v>
      </c>
      <c r="D99" s="4" t="s">
        <v>318</v>
      </c>
      <c r="E99" s="4" t="s">
        <v>28</v>
      </c>
      <c r="F99" s="4" t="s">
        <v>319</v>
      </c>
      <c r="G99" s="4" t="s">
        <v>334</v>
      </c>
      <c r="H99" s="4" t="s">
        <v>246</v>
      </c>
      <c r="I99" s="19">
        <v>39531</v>
      </c>
      <c r="J99" s="13">
        <v>24</v>
      </c>
      <c r="K99" s="13">
        <v>3</v>
      </c>
      <c r="L99" s="20">
        <v>2008</v>
      </c>
      <c r="M99" s="4" t="s">
        <v>56</v>
      </c>
      <c r="N99" s="4">
        <v>12906</v>
      </c>
      <c r="O99" s="4" t="s">
        <v>31</v>
      </c>
      <c r="P99" s="32">
        <v>35995.379999999997</v>
      </c>
      <c r="S99" s="52">
        <v>3</v>
      </c>
      <c r="T99" s="5">
        <v>0</v>
      </c>
      <c r="U99" s="15">
        <v>35994.379999999997</v>
      </c>
      <c r="V99" s="15">
        <v>35994.379999999997</v>
      </c>
      <c r="W99" s="15">
        <f t="shared" ref="W99:W130" si="11">V99-U99</f>
        <v>0</v>
      </c>
      <c r="X99" s="15">
        <f t="shared" ref="X99:X130" si="12">IF(W99=0,1)</f>
        <v>1</v>
      </c>
      <c r="Y99" s="33">
        <v>10560</v>
      </c>
      <c r="AB99" s="67">
        <f t="shared" si="10"/>
        <v>36</v>
      </c>
    </row>
    <row r="100" spans="1:28" x14ac:dyDescent="0.25">
      <c r="A100" s="7"/>
      <c r="B100" s="12" t="s">
        <v>335</v>
      </c>
      <c r="C100" s="4" t="s">
        <v>336</v>
      </c>
      <c r="D100" s="4" t="s">
        <v>318</v>
      </c>
      <c r="E100" s="4" t="s">
        <v>28</v>
      </c>
      <c r="F100" s="4" t="s">
        <v>319</v>
      </c>
      <c r="G100" s="4" t="s">
        <v>337</v>
      </c>
      <c r="H100" s="4" t="s">
        <v>246</v>
      </c>
      <c r="I100" s="19">
        <v>39531</v>
      </c>
      <c r="J100" s="13">
        <v>24</v>
      </c>
      <c r="K100" s="13">
        <v>3</v>
      </c>
      <c r="L100" s="20">
        <v>2008</v>
      </c>
      <c r="M100" s="4" t="s">
        <v>56</v>
      </c>
      <c r="N100" s="4">
        <v>12906</v>
      </c>
      <c r="O100" s="4" t="s">
        <v>31</v>
      </c>
      <c r="P100" s="32">
        <v>35995.379999999997</v>
      </c>
      <c r="S100" s="52">
        <v>3</v>
      </c>
      <c r="T100" s="5">
        <v>0</v>
      </c>
      <c r="U100" s="15">
        <v>35994.379999999997</v>
      </c>
      <c r="V100" s="15">
        <v>35994.379999999997</v>
      </c>
      <c r="W100" s="15">
        <f t="shared" si="11"/>
        <v>0</v>
      </c>
      <c r="X100" s="15">
        <f t="shared" si="12"/>
        <v>1</v>
      </c>
      <c r="Y100" s="33">
        <v>10560</v>
      </c>
      <c r="AB100" s="67">
        <f t="shared" si="10"/>
        <v>36</v>
      </c>
    </row>
    <row r="101" spans="1:28" x14ac:dyDescent="0.25">
      <c r="A101" s="7"/>
      <c r="B101" s="12" t="s">
        <v>205</v>
      </c>
      <c r="C101" s="4" t="s">
        <v>276</v>
      </c>
      <c r="D101" s="4" t="s">
        <v>318</v>
      </c>
      <c r="E101" s="4" t="s">
        <v>28</v>
      </c>
      <c r="F101" s="4" t="s">
        <v>319</v>
      </c>
      <c r="G101" s="4" t="s">
        <v>338</v>
      </c>
      <c r="H101" s="4" t="s">
        <v>246</v>
      </c>
      <c r="I101" s="19">
        <v>39531</v>
      </c>
      <c r="J101" s="13">
        <v>24</v>
      </c>
      <c r="K101" s="13">
        <v>3</v>
      </c>
      <c r="L101" s="20">
        <v>2008</v>
      </c>
      <c r="M101" s="4" t="s">
        <v>56</v>
      </c>
      <c r="N101" s="4">
        <v>12906</v>
      </c>
      <c r="O101" s="4" t="s">
        <v>31</v>
      </c>
      <c r="P101" s="32">
        <v>35995.379999999997</v>
      </c>
      <c r="S101" s="52">
        <v>3</v>
      </c>
      <c r="T101" s="5">
        <v>0</v>
      </c>
      <c r="U101" s="15">
        <v>35994.379999999997</v>
      </c>
      <c r="V101" s="15">
        <v>35994.379999999997</v>
      </c>
      <c r="W101" s="15">
        <f t="shared" si="11"/>
        <v>0</v>
      </c>
      <c r="X101" s="15">
        <f t="shared" si="12"/>
        <v>1</v>
      </c>
      <c r="Y101" s="33">
        <v>10560</v>
      </c>
      <c r="AB101" s="67">
        <f t="shared" si="10"/>
        <v>36</v>
      </c>
    </row>
    <row r="102" spans="1:28" x14ac:dyDescent="0.25">
      <c r="A102" s="7"/>
      <c r="B102" s="12" t="s">
        <v>339</v>
      </c>
      <c r="C102" s="4" t="s">
        <v>340</v>
      </c>
      <c r="D102" s="4" t="s">
        <v>318</v>
      </c>
      <c r="E102" s="4" t="s">
        <v>28</v>
      </c>
      <c r="F102" s="4" t="s">
        <v>319</v>
      </c>
      <c r="G102" s="4" t="s">
        <v>341</v>
      </c>
      <c r="H102" s="4" t="s">
        <v>246</v>
      </c>
      <c r="I102" s="19">
        <v>39531</v>
      </c>
      <c r="J102" s="13">
        <v>24</v>
      </c>
      <c r="K102" s="13">
        <v>3</v>
      </c>
      <c r="L102" s="20">
        <v>2008</v>
      </c>
      <c r="M102" s="4" t="s">
        <v>56</v>
      </c>
      <c r="N102" s="4">
        <v>12906</v>
      </c>
      <c r="O102" s="4" t="s">
        <v>31</v>
      </c>
      <c r="P102" s="32">
        <v>35995.379999999997</v>
      </c>
      <c r="S102" s="52">
        <v>3</v>
      </c>
      <c r="T102" s="5">
        <v>0</v>
      </c>
      <c r="U102" s="15">
        <v>35994.379999999997</v>
      </c>
      <c r="V102" s="15">
        <v>35994.379999999997</v>
      </c>
      <c r="W102" s="15">
        <f t="shared" si="11"/>
        <v>0</v>
      </c>
      <c r="X102" s="15">
        <f t="shared" si="12"/>
        <v>1</v>
      </c>
      <c r="Y102" s="33">
        <v>10560</v>
      </c>
      <c r="AB102" s="67">
        <f t="shared" si="10"/>
        <v>36</v>
      </c>
    </row>
    <row r="103" spans="1:28" x14ac:dyDescent="0.25">
      <c r="A103" s="7"/>
      <c r="B103" s="12" t="s">
        <v>342</v>
      </c>
      <c r="C103" s="4" t="s">
        <v>343</v>
      </c>
      <c r="D103" s="4" t="s">
        <v>318</v>
      </c>
      <c r="E103" s="4" t="s">
        <v>28</v>
      </c>
      <c r="F103" s="4" t="s">
        <v>319</v>
      </c>
      <c r="G103" s="4" t="s">
        <v>344</v>
      </c>
      <c r="H103" s="4" t="s">
        <v>246</v>
      </c>
      <c r="I103" s="19">
        <v>39531</v>
      </c>
      <c r="J103" s="13">
        <v>24</v>
      </c>
      <c r="K103" s="13">
        <v>3</v>
      </c>
      <c r="L103" s="20">
        <v>2008</v>
      </c>
      <c r="M103" s="4" t="s">
        <v>56</v>
      </c>
      <c r="N103" s="4">
        <v>12906</v>
      </c>
      <c r="O103" s="4" t="s">
        <v>31</v>
      </c>
      <c r="P103" s="32">
        <v>35995.379999999997</v>
      </c>
      <c r="S103" s="52">
        <v>3</v>
      </c>
      <c r="T103" s="5">
        <v>0</v>
      </c>
      <c r="U103" s="15">
        <v>35994.379999999997</v>
      </c>
      <c r="V103" s="15">
        <v>35994.379999999997</v>
      </c>
      <c r="W103" s="15">
        <f t="shared" si="11"/>
        <v>0</v>
      </c>
      <c r="X103" s="15">
        <f t="shared" si="12"/>
        <v>1</v>
      </c>
      <c r="Y103" s="33">
        <v>10560</v>
      </c>
      <c r="AB103" s="67">
        <f t="shared" si="10"/>
        <v>36</v>
      </c>
    </row>
    <row r="104" spans="1:28" x14ac:dyDescent="0.25">
      <c r="A104" s="7"/>
      <c r="B104" s="12" t="s">
        <v>345</v>
      </c>
      <c r="C104" s="4" t="s">
        <v>346</v>
      </c>
      <c r="D104" s="4" t="s">
        <v>318</v>
      </c>
      <c r="E104" s="4" t="s">
        <v>28</v>
      </c>
      <c r="F104" s="4" t="s">
        <v>319</v>
      </c>
      <c r="G104" s="4" t="s">
        <v>347</v>
      </c>
      <c r="H104" s="4" t="s">
        <v>246</v>
      </c>
      <c r="I104" s="19">
        <v>39531</v>
      </c>
      <c r="J104" s="13">
        <v>24</v>
      </c>
      <c r="K104" s="13">
        <v>3</v>
      </c>
      <c r="L104" s="20">
        <v>2008</v>
      </c>
      <c r="M104" s="4" t="s">
        <v>56</v>
      </c>
      <c r="N104" s="4">
        <v>12906</v>
      </c>
      <c r="O104" s="4" t="s">
        <v>31</v>
      </c>
      <c r="P104" s="32">
        <v>35995.379999999997</v>
      </c>
      <c r="S104" s="52">
        <v>3</v>
      </c>
      <c r="T104" s="5">
        <v>0</v>
      </c>
      <c r="U104" s="15">
        <v>35994.379999999997</v>
      </c>
      <c r="V104" s="15">
        <v>35994.379999999997</v>
      </c>
      <c r="W104" s="15">
        <f t="shared" si="11"/>
        <v>0</v>
      </c>
      <c r="X104" s="15">
        <f t="shared" si="12"/>
        <v>1</v>
      </c>
      <c r="Y104" s="33">
        <v>10560</v>
      </c>
      <c r="AB104" s="67">
        <f t="shared" si="10"/>
        <v>36</v>
      </c>
    </row>
    <row r="105" spans="1:28" x14ac:dyDescent="0.25">
      <c r="A105" s="7"/>
      <c r="B105" s="12" t="s">
        <v>348</v>
      </c>
      <c r="C105" s="4" t="s">
        <v>349</v>
      </c>
      <c r="D105" s="4" t="s">
        <v>318</v>
      </c>
      <c r="E105" s="4" t="s">
        <v>28</v>
      </c>
      <c r="F105" s="4" t="s">
        <v>319</v>
      </c>
      <c r="G105" s="4" t="s">
        <v>350</v>
      </c>
      <c r="H105" s="4" t="s">
        <v>246</v>
      </c>
      <c r="I105" s="19">
        <v>39531</v>
      </c>
      <c r="J105" s="13">
        <v>24</v>
      </c>
      <c r="K105" s="13">
        <v>3</v>
      </c>
      <c r="L105" s="20">
        <v>2008</v>
      </c>
      <c r="M105" s="4" t="s">
        <v>56</v>
      </c>
      <c r="N105" s="4">
        <v>12906</v>
      </c>
      <c r="O105" s="4" t="s">
        <v>31</v>
      </c>
      <c r="P105" s="32">
        <v>35995.379999999997</v>
      </c>
      <c r="S105" s="52">
        <v>3</v>
      </c>
      <c r="T105" s="5">
        <v>0</v>
      </c>
      <c r="U105" s="15">
        <v>35994.379999999997</v>
      </c>
      <c r="V105" s="15">
        <v>35994.379999999997</v>
      </c>
      <c r="W105" s="15">
        <f t="shared" si="11"/>
        <v>0</v>
      </c>
      <c r="X105" s="15">
        <f t="shared" si="12"/>
        <v>1</v>
      </c>
      <c r="Y105" s="33">
        <v>10560</v>
      </c>
      <c r="AB105" s="67">
        <f t="shared" si="10"/>
        <v>36</v>
      </c>
    </row>
    <row r="106" spans="1:28" x14ac:dyDescent="0.25">
      <c r="A106" s="7"/>
      <c r="B106" s="12"/>
      <c r="C106" s="4" t="s">
        <v>351</v>
      </c>
      <c r="D106" s="4" t="s">
        <v>171</v>
      </c>
      <c r="E106" s="4" t="s">
        <v>352</v>
      </c>
      <c r="F106" s="4" t="s">
        <v>353</v>
      </c>
      <c r="H106" s="4" t="s">
        <v>139</v>
      </c>
      <c r="I106" s="35">
        <v>39618</v>
      </c>
      <c r="J106" s="36">
        <v>19</v>
      </c>
      <c r="K106" s="36">
        <v>6</v>
      </c>
      <c r="L106" s="37">
        <v>2008</v>
      </c>
      <c r="M106" s="4" t="s">
        <v>56</v>
      </c>
      <c r="N106" s="4">
        <v>6161</v>
      </c>
      <c r="O106" s="4" t="s">
        <v>31</v>
      </c>
      <c r="P106" s="32">
        <v>5575</v>
      </c>
      <c r="R106" s="40" t="s">
        <v>351</v>
      </c>
      <c r="S106" s="52">
        <v>3</v>
      </c>
      <c r="T106" s="5">
        <v>0</v>
      </c>
      <c r="U106" s="15">
        <v>5574</v>
      </c>
      <c r="V106" s="15">
        <v>5574</v>
      </c>
      <c r="W106" s="15">
        <f t="shared" si="11"/>
        <v>0</v>
      </c>
      <c r="X106" s="15">
        <f t="shared" si="12"/>
        <v>1</v>
      </c>
      <c r="Y106" s="7">
        <v>11205</v>
      </c>
      <c r="AB106" s="67">
        <f t="shared" si="10"/>
        <v>36</v>
      </c>
    </row>
    <row r="107" spans="1:28" x14ac:dyDescent="0.25">
      <c r="A107" s="7"/>
      <c r="B107" s="12" t="s">
        <v>205</v>
      </c>
      <c r="C107" s="4" t="s">
        <v>282</v>
      </c>
      <c r="D107" s="4" t="s">
        <v>318</v>
      </c>
      <c r="E107" s="4" t="s">
        <v>28</v>
      </c>
      <c r="F107" s="4" t="s">
        <v>319</v>
      </c>
      <c r="G107" s="4" t="s">
        <v>354</v>
      </c>
      <c r="H107" s="4" t="s">
        <v>246</v>
      </c>
      <c r="I107" s="38">
        <v>39640</v>
      </c>
      <c r="J107" s="13">
        <v>11</v>
      </c>
      <c r="K107" s="13">
        <v>7</v>
      </c>
      <c r="L107" s="20">
        <v>2008</v>
      </c>
      <c r="M107" s="4" t="s">
        <v>56</v>
      </c>
      <c r="N107" s="4">
        <v>13127</v>
      </c>
      <c r="O107" s="4" t="s">
        <v>31</v>
      </c>
      <c r="P107" s="32">
        <v>29779.52</v>
      </c>
      <c r="S107" s="52">
        <v>3</v>
      </c>
      <c r="T107" s="5">
        <v>0</v>
      </c>
      <c r="U107" s="15">
        <v>29778.52</v>
      </c>
      <c r="V107" s="15">
        <v>29778.52</v>
      </c>
      <c r="W107" s="15">
        <f t="shared" si="11"/>
        <v>0</v>
      </c>
      <c r="X107" s="15">
        <f t="shared" si="12"/>
        <v>1</v>
      </c>
      <c r="Y107" s="7">
        <v>11255</v>
      </c>
      <c r="AB107" s="67">
        <f t="shared" si="10"/>
        <v>36</v>
      </c>
    </row>
    <row r="108" spans="1:28" x14ac:dyDescent="0.25">
      <c r="A108" s="7"/>
      <c r="B108" s="12" t="s">
        <v>355</v>
      </c>
      <c r="C108" s="4" t="s">
        <v>356</v>
      </c>
      <c r="D108" s="4" t="s">
        <v>318</v>
      </c>
      <c r="E108" s="4" t="s">
        <v>28</v>
      </c>
      <c r="F108" s="4" t="s">
        <v>319</v>
      </c>
      <c r="G108" s="4" t="s">
        <v>357</v>
      </c>
      <c r="H108" s="4" t="s">
        <v>246</v>
      </c>
      <c r="I108" s="38">
        <v>39640</v>
      </c>
      <c r="J108" s="13">
        <v>11</v>
      </c>
      <c r="K108" s="13">
        <v>7</v>
      </c>
      <c r="L108" s="20">
        <v>2008</v>
      </c>
      <c r="M108" s="4" t="s">
        <v>56</v>
      </c>
      <c r="N108" s="4">
        <v>13127</v>
      </c>
      <c r="O108" s="4" t="s">
        <v>31</v>
      </c>
      <c r="P108" s="32">
        <v>29779.52</v>
      </c>
      <c r="S108" s="52">
        <v>3</v>
      </c>
      <c r="T108" s="5">
        <v>0</v>
      </c>
      <c r="U108" s="15">
        <v>29778.52</v>
      </c>
      <c r="V108" s="15">
        <v>29778.52</v>
      </c>
      <c r="W108" s="15">
        <f t="shared" si="11"/>
        <v>0</v>
      </c>
      <c r="X108" s="15">
        <f t="shared" si="12"/>
        <v>1</v>
      </c>
      <c r="Y108" s="7">
        <v>11255</v>
      </c>
      <c r="AB108" s="67">
        <f t="shared" si="10"/>
        <v>36</v>
      </c>
    </row>
    <row r="109" spans="1:28" x14ac:dyDescent="0.25">
      <c r="A109" s="7"/>
      <c r="B109" s="12" t="s">
        <v>358</v>
      </c>
      <c r="C109" s="4" t="s">
        <v>359</v>
      </c>
      <c r="D109" s="4" t="s">
        <v>318</v>
      </c>
      <c r="E109" s="4" t="s">
        <v>28</v>
      </c>
      <c r="F109" s="4" t="s">
        <v>319</v>
      </c>
      <c r="G109" s="4" t="s">
        <v>360</v>
      </c>
      <c r="H109" s="4" t="s">
        <v>246</v>
      </c>
      <c r="I109" s="38">
        <v>39640</v>
      </c>
      <c r="J109" s="13">
        <v>11</v>
      </c>
      <c r="K109" s="13">
        <v>7</v>
      </c>
      <c r="L109" s="20">
        <v>2008</v>
      </c>
      <c r="M109" s="4" t="s">
        <v>56</v>
      </c>
      <c r="N109" s="4">
        <v>13127</v>
      </c>
      <c r="O109" s="4" t="s">
        <v>31</v>
      </c>
      <c r="P109" s="32">
        <v>29779.52</v>
      </c>
      <c r="S109" s="52">
        <v>3</v>
      </c>
      <c r="T109" s="5">
        <v>0</v>
      </c>
      <c r="U109" s="15">
        <v>29778.52</v>
      </c>
      <c r="V109" s="15">
        <v>29778.52</v>
      </c>
      <c r="W109" s="15">
        <f t="shared" si="11"/>
        <v>0</v>
      </c>
      <c r="X109" s="15">
        <f t="shared" si="12"/>
        <v>1</v>
      </c>
      <c r="Y109" s="7">
        <v>11255</v>
      </c>
      <c r="AB109" s="67">
        <f t="shared" si="10"/>
        <v>36</v>
      </c>
    </row>
    <row r="110" spans="1:28" x14ac:dyDescent="0.25">
      <c r="A110" s="7"/>
      <c r="B110" s="12" t="s">
        <v>361</v>
      </c>
      <c r="C110" s="4" t="s">
        <v>274</v>
      </c>
      <c r="D110" s="4" t="s">
        <v>318</v>
      </c>
      <c r="E110" s="4" t="s">
        <v>28</v>
      </c>
      <c r="F110" s="4" t="s">
        <v>319</v>
      </c>
      <c r="G110" s="4" t="s">
        <v>362</v>
      </c>
      <c r="H110" s="4" t="s">
        <v>246</v>
      </c>
      <c r="I110" s="38">
        <v>39640</v>
      </c>
      <c r="J110" s="13">
        <v>11</v>
      </c>
      <c r="K110" s="13">
        <v>7</v>
      </c>
      <c r="L110" s="20">
        <v>2008</v>
      </c>
      <c r="M110" s="4" t="s">
        <v>56</v>
      </c>
      <c r="N110" s="4">
        <v>13127</v>
      </c>
      <c r="O110" s="4" t="s">
        <v>31</v>
      </c>
      <c r="P110" s="32">
        <v>29779.52</v>
      </c>
      <c r="S110" s="52">
        <v>3</v>
      </c>
      <c r="T110" s="5">
        <v>0</v>
      </c>
      <c r="U110" s="15">
        <v>29778.52</v>
      </c>
      <c r="V110" s="15">
        <v>29778.52</v>
      </c>
      <c r="W110" s="15">
        <f t="shared" si="11"/>
        <v>0</v>
      </c>
      <c r="X110" s="15">
        <f t="shared" si="12"/>
        <v>1</v>
      </c>
      <c r="Y110" s="7">
        <v>11255</v>
      </c>
      <c r="AB110" s="67">
        <f t="shared" si="10"/>
        <v>36</v>
      </c>
    </row>
    <row r="111" spans="1:28" x14ac:dyDescent="0.25">
      <c r="B111" s="12" t="s">
        <v>363</v>
      </c>
      <c r="C111" s="4" t="s">
        <v>297</v>
      </c>
      <c r="D111" s="4" t="s">
        <v>318</v>
      </c>
      <c r="E111" s="4" t="s">
        <v>28</v>
      </c>
      <c r="F111" s="4" t="s">
        <v>319</v>
      </c>
      <c r="G111" s="4" t="s">
        <v>364</v>
      </c>
      <c r="H111" s="4" t="s">
        <v>246</v>
      </c>
      <c r="I111" s="38">
        <v>39640</v>
      </c>
      <c r="J111" s="13">
        <v>11</v>
      </c>
      <c r="K111" s="13">
        <v>7</v>
      </c>
      <c r="L111" s="20">
        <v>2008</v>
      </c>
      <c r="M111" s="4" t="s">
        <v>56</v>
      </c>
      <c r="N111" s="4">
        <v>13127</v>
      </c>
      <c r="O111" s="4" t="s">
        <v>31</v>
      </c>
      <c r="P111" s="32">
        <v>29779.52</v>
      </c>
      <c r="S111" s="52">
        <v>3</v>
      </c>
      <c r="T111" s="5">
        <v>0</v>
      </c>
      <c r="U111" s="15">
        <v>29778.52</v>
      </c>
      <c r="V111" s="15">
        <v>29778.52</v>
      </c>
      <c r="W111" s="15">
        <f t="shared" si="11"/>
        <v>0</v>
      </c>
      <c r="X111" s="15">
        <f t="shared" si="12"/>
        <v>1</v>
      </c>
      <c r="Y111" s="7">
        <v>11255</v>
      </c>
      <c r="AB111" s="67">
        <f t="shared" si="10"/>
        <v>36</v>
      </c>
    </row>
    <row r="112" spans="1:28" x14ac:dyDescent="0.25">
      <c r="B112" s="12" t="s">
        <v>365</v>
      </c>
      <c r="C112" s="4" t="s">
        <v>306</v>
      </c>
      <c r="D112" s="4" t="s">
        <v>318</v>
      </c>
      <c r="E112" s="4" t="s">
        <v>28</v>
      </c>
      <c r="F112" s="4" t="s">
        <v>319</v>
      </c>
      <c r="G112" s="4" t="s">
        <v>366</v>
      </c>
      <c r="H112" s="4" t="s">
        <v>246</v>
      </c>
      <c r="I112" s="38">
        <v>39640</v>
      </c>
      <c r="J112" s="13">
        <v>11</v>
      </c>
      <c r="K112" s="13">
        <v>7</v>
      </c>
      <c r="L112" s="20">
        <v>2008</v>
      </c>
      <c r="M112" s="4" t="s">
        <v>56</v>
      </c>
      <c r="N112" s="4">
        <v>13127</v>
      </c>
      <c r="O112" s="4" t="s">
        <v>31</v>
      </c>
      <c r="P112" s="32">
        <v>29779.52</v>
      </c>
      <c r="S112" s="52">
        <v>3</v>
      </c>
      <c r="T112" s="5">
        <v>0</v>
      </c>
      <c r="U112" s="15">
        <v>29778.52</v>
      </c>
      <c r="V112" s="15">
        <v>29778.52</v>
      </c>
      <c r="W112" s="15">
        <f t="shared" si="11"/>
        <v>0</v>
      </c>
      <c r="X112" s="15">
        <f t="shared" si="12"/>
        <v>1</v>
      </c>
      <c r="Y112" s="7">
        <v>11255</v>
      </c>
      <c r="AB112" s="67">
        <f t="shared" si="10"/>
        <v>36</v>
      </c>
    </row>
    <row r="113" spans="1:28" x14ac:dyDescent="0.25">
      <c r="B113" s="12" t="s">
        <v>367</v>
      </c>
      <c r="C113" s="4" t="s">
        <v>285</v>
      </c>
      <c r="D113" s="4" t="s">
        <v>318</v>
      </c>
      <c r="E113" s="4" t="s">
        <v>28</v>
      </c>
      <c r="F113" s="4" t="s">
        <v>319</v>
      </c>
      <c r="G113" s="4" t="s">
        <v>368</v>
      </c>
      <c r="H113" s="4" t="s">
        <v>246</v>
      </c>
      <c r="I113" s="38">
        <v>39640</v>
      </c>
      <c r="J113" s="13">
        <v>11</v>
      </c>
      <c r="K113" s="13">
        <v>7</v>
      </c>
      <c r="L113" s="20">
        <v>2008</v>
      </c>
      <c r="M113" s="4" t="s">
        <v>56</v>
      </c>
      <c r="N113" s="4">
        <v>13127</v>
      </c>
      <c r="O113" s="4" t="s">
        <v>31</v>
      </c>
      <c r="P113" s="32">
        <v>29779.52</v>
      </c>
      <c r="S113" s="52">
        <v>3</v>
      </c>
      <c r="T113" s="5">
        <v>0</v>
      </c>
      <c r="U113" s="15">
        <v>29778.52</v>
      </c>
      <c r="V113" s="15">
        <v>29778.52</v>
      </c>
      <c r="W113" s="15">
        <f t="shared" si="11"/>
        <v>0</v>
      </c>
      <c r="X113" s="15">
        <f t="shared" si="12"/>
        <v>1</v>
      </c>
      <c r="Y113" s="7">
        <v>11255</v>
      </c>
      <c r="AB113" s="67">
        <f t="shared" si="10"/>
        <v>36</v>
      </c>
    </row>
    <row r="114" spans="1:28" ht="21" customHeight="1" x14ac:dyDescent="0.25">
      <c r="B114" s="12" t="s">
        <v>369</v>
      </c>
      <c r="C114" s="4" t="s">
        <v>370</v>
      </c>
      <c r="D114" s="4" t="s">
        <v>318</v>
      </c>
      <c r="E114" s="4" t="s">
        <v>28</v>
      </c>
      <c r="F114" s="4" t="s">
        <v>319</v>
      </c>
      <c r="G114" s="4" t="s">
        <v>371</v>
      </c>
      <c r="H114" s="4" t="s">
        <v>246</v>
      </c>
      <c r="I114" s="38">
        <v>39640</v>
      </c>
      <c r="J114" s="13">
        <v>11</v>
      </c>
      <c r="K114" s="13">
        <v>7</v>
      </c>
      <c r="L114" s="20">
        <v>2008</v>
      </c>
      <c r="M114" s="4" t="s">
        <v>56</v>
      </c>
      <c r="N114" s="4">
        <v>13127</v>
      </c>
      <c r="O114" s="4" t="s">
        <v>31</v>
      </c>
      <c r="P114" s="32">
        <v>29779.52</v>
      </c>
      <c r="S114" s="52">
        <v>3</v>
      </c>
      <c r="T114" s="5">
        <v>0</v>
      </c>
      <c r="U114" s="15">
        <v>29778.52</v>
      </c>
      <c r="V114" s="15">
        <v>29778.52</v>
      </c>
      <c r="W114" s="15">
        <f t="shared" si="11"/>
        <v>0</v>
      </c>
      <c r="X114" s="15">
        <f t="shared" si="12"/>
        <v>1</v>
      </c>
      <c r="Y114" s="7">
        <v>11255</v>
      </c>
      <c r="AB114" s="67">
        <f t="shared" si="10"/>
        <v>36</v>
      </c>
    </row>
    <row r="115" spans="1:28" ht="21" customHeight="1" x14ac:dyDescent="0.25">
      <c r="B115" s="12"/>
      <c r="D115" s="4" t="s">
        <v>372</v>
      </c>
      <c r="E115" s="4" t="s">
        <v>28</v>
      </c>
      <c r="F115" s="4" t="s">
        <v>373</v>
      </c>
      <c r="G115" s="4" t="s">
        <v>374</v>
      </c>
      <c r="H115" s="4" t="s">
        <v>246</v>
      </c>
      <c r="I115" s="38">
        <v>39640</v>
      </c>
      <c r="J115" s="13">
        <v>11</v>
      </c>
      <c r="K115" s="13">
        <v>7</v>
      </c>
      <c r="L115" s="20">
        <v>2008</v>
      </c>
      <c r="M115" s="4" t="s">
        <v>56</v>
      </c>
      <c r="N115" s="4">
        <v>13127</v>
      </c>
      <c r="O115" s="4" t="s">
        <v>31</v>
      </c>
      <c r="P115" s="32">
        <v>8944.76</v>
      </c>
      <c r="S115" s="52">
        <v>3</v>
      </c>
      <c r="T115" s="5">
        <v>0</v>
      </c>
      <c r="U115" s="15">
        <v>8943.76</v>
      </c>
      <c r="V115" s="15">
        <v>8943.76</v>
      </c>
      <c r="W115" s="15">
        <f t="shared" si="11"/>
        <v>0</v>
      </c>
      <c r="X115" s="15">
        <f t="shared" si="12"/>
        <v>1</v>
      </c>
      <c r="Y115" s="7">
        <v>11255</v>
      </c>
      <c r="AB115" s="67">
        <f t="shared" si="10"/>
        <v>36</v>
      </c>
    </row>
    <row r="116" spans="1:28" ht="21" customHeight="1" x14ac:dyDescent="0.25">
      <c r="B116" s="12" t="s">
        <v>375</v>
      </c>
      <c r="C116" s="4" t="s">
        <v>376</v>
      </c>
      <c r="D116" s="4" t="s">
        <v>372</v>
      </c>
      <c r="E116" s="4" t="s">
        <v>28</v>
      </c>
      <c r="F116" s="4" t="s">
        <v>373</v>
      </c>
      <c r="G116" s="4" t="s">
        <v>377</v>
      </c>
      <c r="H116" s="4" t="s">
        <v>246</v>
      </c>
      <c r="I116" s="38">
        <v>39640</v>
      </c>
      <c r="J116" s="13">
        <v>11</v>
      </c>
      <c r="K116" s="13">
        <v>7</v>
      </c>
      <c r="L116" s="20">
        <v>2008</v>
      </c>
      <c r="M116" s="4" t="s">
        <v>56</v>
      </c>
      <c r="N116" s="4">
        <v>13127</v>
      </c>
      <c r="O116" s="4" t="s">
        <v>31</v>
      </c>
      <c r="P116" s="32">
        <v>8944.76</v>
      </c>
      <c r="S116" s="52">
        <v>3</v>
      </c>
      <c r="T116" s="5">
        <v>0</v>
      </c>
      <c r="U116" s="15">
        <v>8943.76</v>
      </c>
      <c r="V116" s="15">
        <v>8943.76</v>
      </c>
      <c r="W116" s="15">
        <f t="shared" si="11"/>
        <v>0</v>
      </c>
      <c r="X116" s="15">
        <f t="shared" si="12"/>
        <v>1</v>
      </c>
      <c r="Y116" s="7">
        <v>11255</v>
      </c>
      <c r="AB116" s="67">
        <f t="shared" si="10"/>
        <v>36</v>
      </c>
    </row>
    <row r="117" spans="1:28" ht="21" customHeight="1" x14ac:dyDescent="0.25">
      <c r="B117" s="12" t="s">
        <v>378</v>
      </c>
      <c r="C117" s="4" t="s">
        <v>379</v>
      </c>
      <c r="D117" s="4" t="s">
        <v>372</v>
      </c>
      <c r="E117" s="4" t="s">
        <v>28</v>
      </c>
      <c r="F117" s="4" t="s">
        <v>373</v>
      </c>
      <c r="G117" s="4" t="s">
        <v>380</v>
      </c>
      <c r="H117" s="4" t="s">
        <v>246</v>
      </c>
      <c r="I117" s="38">
        <v>39643</v>
      </c>
      <c r="J117" s="13">
        <v>11</v>
      </c>
      <c r="K117" s="13">
        <v>7</v>
      </c>
      <c r="L117" s="20">
        <v>2008</v>
      </c>
      <c r="M117" s="4" t="s">
        <v>56</v>
      </c>
      <c r="N117" s="4">
        <v>13127</v>
      </c>
      <c r="O117" s="4" t="s">
        <v>31</v>
      </c>
      <c r="P117" s="32">
        <v>8944.76</v>
      </c>
      <c r="S117" s="52">
        <v>3</v>
      </c>
      <c r="T117" s="5">
        <v>0</v>
      </c>
      <c r="U117" s="15">
        <v>8943.76</v>
      </c>
      <c r="V117" s="15">
        <v>8943.76</v>
      </c>
      <c r="W117" s="15">
        <f t="shared" si="11"/>
        <v>0</v>
      </c>
      <c r="X117" s="15">
        <f t="shared" si="12"/>
        <v>1</v>
      </c>
      <c r="Y117" s="7">
        <v>11255</v>
      </c>
      <c r="AB117" s="67">
        <f t="shared" si="10"/>
        <v>36</v>
      </c>
    </row>
    <row r="118" spans="1:28" ht="21" customHeight="1" x14ac:dyDescent="0.25">
      <c r="B118" s="12" t="s">
        <v>381</v>
      </c>
      <c r="C118" s="4" t="s">
        <v>328</v>
      </c>
      <c r="D118" s="4" t="s">
        <v>372</v>
      </c>
      <c r="E118" s="4" t="s">
        <v>28</v>
      </c>
      <c r="F118" s="4" t="s">
        <v>373</v>
      </c>
      <c r="G118" s="4" t="s">
        <v>382</v>
      </c>
      <c r="H118" s="4" t="s">
        <v>246</v>
      </c>
      <c r="I118" s="38">
        <v>39644</v>
      </c>
      <c r="J118" s="13">
        <v>11</v>
      </c>
      <c r="K118" s="13">
        <v>7</v>
      </c>
      <c r="L118" s="20">
        <v>2008</v>
      </c>
      <c r="M118" s="4" t="s">
        <v>56</v>
      </c>
      <c r="N118" s="4">
        <v>13127</v>
      </c>
      <c r="O118" s="4" t="s">
        <v>31</v>
      </c>
      <c r="P118" s="32">
        <v>8944.76</v>
      </c>
      <c r="S118" s="52">
        <v>3</v>
      </c>
      <c r="T118" s="5">
        <v>0</v>
      </c>
      <c r="U118" s="15">
        <v>8943.76</v>
      </c>
      <c r="V118" s="15">
        <v>8943.76</v>
      </c>
      <c r="W118" s="15">
        <f t="shared" si="11"/>
        <v>0</v>
      </c>
      <c r="X118" s="15">
        <f t="shared" si="12"/>
        <v>1</v>
      </c>
      <c r="Y118" s="7">
        <v>11255</v>
      </c>
      <c r="AB118" s="67">
        <f t="shared" si="10"/>
        <v>36</v>
      </c>
    </row>
    <row r="119" spans="1:28" ht="21" customHeight="1" x14ac:dyDescent="0.25">
      <c r="B119" s="12" t="s">
        <v>383</v>
      </c>
      <c r="C119" s="4" t="s">
        <v>349</v>
      </c>
      <c r="D119" s="4" t="s">
        <v>372</v>
      </c>
      <c r="E119" s="4" t="s">
        <v>28</v>
      </c>
      <c r="F119" s="4" t="s">
        <v>373</v>
      </c>
      <c r="G119" s="4" t="s">
        <v>384</v>
      </c>
      <c r="H119" s="4" t="s">
        <v>246</v>
      </c>
      <c r="I119" s="38">
        <v>39645</v>
      </c>
      <c r="J119" s="13">
        <v>11</v>
      </c>
      <c r="K119" s="13">
        <v>7</v>
      </c>
      <c r="L119" s="20">
        <v>2008</v>
      </c>
      <c r="M119" s="4" t="s">
        <v>56</v>
      </c>
      <c r="N119" s="4">
        <v>13127</v>
      </c>
      <c r="O119" s="4" t="s">
        <v>31</v>
      </c>
      <c r="P119" s="32">
        <v>8944.76</v>
      </c>
      <c r="S119" s="52">
        <v>3</v>
      </c>
      <c r="T119" s="5">
        <v>0</v>
      </c>
      <c r="U119" s="15">
        <v>8943.76</v>
      </c>
      <c r="V119" s="15">
        <v>8943.76</v>
      </c>
      <c r="W119" s="15">
        <f t="shared" si="11"/>
        <v>0</v>
      </c>
      <c r="X119" s="15">
        <f t="shared" si="12"/>
        <v>1</v>
      </c>
      <c r="Y119" s="7">
        <v>11255</v>
      </c>
      <c r="AB119" s="67">
        <f t="shared" si="10"/>
        <v>36</v>
      </c>
    </row>
    <row r="120" spans="1:28" ht="21" customHeight="1" x14ac:dyDescent="0.25">
      <c r="B120" s="12" t="s">
        <v>385</v>
      </c>
      <c r="C120" s="4" t="s">
        <v>359</v>
      </c>
      <c r="D120" s="4" t="s">
        <v>372</v>
      </c>
      <c r="E120" s="4" t="s">
        <v>28</v>
      </c>
      <c r="F120" s="4" t="s">
        <v>373</v>
      </c>
      <c r="G120" s="4" t="s">
        <v>386</v>
      </c>
      <c r="H120" s="4" t="s">
        <v>246</v>
      </c>
      <c r="I120" s="38">
        <v>39646</v>
      </c>
      <c r="J120" s="13">
        <v>11</v>
      </c>
      <c r="K120" s="13">
        <v>7</v>
      </c>
      <c r="L120" s="20">
        <v>2008</v>
      </c>
      <c r="M120" s="4" t="s">
        <v>56</v>
      </c>
      <c r="N120" s="4">
        <v>13127</v>
      </c>
      <c r="O120" s="4" t="s">
        <v>31</v>
      </c>
      <c r="P120" s="32">
        <v>8944.76</v>
      </c>
      <c r="S120" s="52">
        <v>3</v>
      </c>
      <c r="T120" s="5">
        <v>0</v>
      </c>
      <c r="U120" s="15">
        <v>8943.76</v>
      </c>
      <c r="V120" s="15">
        <v>8943.76</v>
      </c>
      <c r="W120" s="15">
        <f t="shared" si="11"/>
        <v>0</v>
      </c>
      <c r="X120" s="15">
        <f t="shared" si="12"/>
        <v>1</v>
      </c>
      <c r="Y120" s="7">
        <v>11255</v>
      </c>
      <c r="AB120" s="67">
        <f t="shared" si="10"/>
        <v>36</v>
      </c>
    </row>
    <row r="121" spans="1:28" x14ac:dyDescent="0.25">
      <c r="A121" s="4" t="s">
        <v>387</v>
      </c>
      <c r="B121" s="12" t="s">
        <v>388</v>
      </c>
      <c r="C121" s="4" t="s">
        <v>389</v>
      </c>
      <c r="D121" s="4" t="s">
        <v>390</v>
      </c>
      <c r="E121" s="4" t="s">
        <v>391</v>
      </c>
      <c r="F121" s="4" t="s">
        <v>392</v>
      </c>
      <c r="G121" s="4" t="s">
        <v>393</v>
      </c>
      <c r="H121" s="4" t="s">
        <v>394</v>
      </c>
      <c r="J121" s="13">
        <v>27</v>
      </c>
      <c r="K121" s="13">
        <v>6</v>
      </c>
      <c r="L121" s="20">
        <v>2008</v>
      </c>
      <c r="M121" s="4" t="s">
        <v>56</v>
      </c>
      <c r="N121" s="4">
        <v>2522</v>
      </c>
      <c r="O121" s="4" t="s">
        <v>31</v>
      </c>
      <c r="P121" s="5">
        <f>845690.02+136234.16</f>
        <v>981924.18</v>
      </c>
      <c r="S121" s="52">
        <v>3</v>
      </c>
      <c r="T121" s="5">
        <v>0</v>
      </c>
      <c r="U121" s="15">
        <v>981923.18</v>
      </c>
      <c r="V121" s="15">
        <v>981923.18</v>
      </c>
      <c r="W121" s="15">
        <f t="shared" si="11"/>
        <v>0</v>
      </c>
      <c r="X121" s="15">
        <f t="shared" si="12"/>
        <v>1</v>
      </c>
      <c r="Y121" s="7">
        <v>11378</v>
      </c>
      <c r="AB121" s="67">
        <f t="shared" si="10"/>
        <v>36</v>
      </c>
    </row>
    <row r="122" spans="1:28" x14ac:dyDescent="0.25">
      <c r="B122" s="12" t="s">
        <v>395</v>
      </c>
      <c r="C122" s="4" t="s">
        <v>396</v>
      </c>
      <c r="D122" s="4" t="s">
        <v>90</v>
      </c>
      <c r="E122" s="4" t="s">
        <v>28</v>
      </c>
      <c r="F122" s="4">
        <v>6940</v>
      </c>
      <c r="G122" s="4" t="s">
        <v>397</v>
      </c>
      <c r="H122" s="4" t="s">
        <v>139</v>
      </c>
      <c r="J122" s="13">
        <v>14</v>
      </c>
      <c r="K122" s="13">
        <v>11</v>
      </c>
      <c r="L122" s="20">
        <v>2008</v>
      </c>
      <c r="M122" s="4" t="s">
        <v>56</v>
      </c>
      <c r="N122" s="4">
        <v>8073</v>
      </c>
      <c r="O122" s="4" t="s">
        <v>31</v>
      </c>
      <c r="P122" s="5">
        <v>5210</v>
      </c>
      <c r="S122" s="52">
        <v>3</v>
      </c>
      <c r="T122" s="5">
        <v>0</v>
      </c>
      <c r="U122" s="15">
        <v>5208.9999999999991</v>
      </c>
      <c r="V122" s="15">
        <v>5208.9999999999991</v>
      </c>
      <c r="W122" s="15">
        <f t="shared" si="11"/>
        <v>0</v>
      </c>
      <c r="X122" s="15">
        <f t="shared" si="12"/>
        <v>1</v>
      </c>
      <c r="Y122" s="7">
        <v>11659</v>
      </c>
      <c r="AB122" s="67">
        <f t="shared" si="10"/>
        <v>36</v>
      </c>
    </row>
    <row r="123" spans="1:28" x14ac:dyDescent="0.25">
      <c r="B123" s="12"/>
      <c r="D123" s="4" t="s">
        <v>398</v>
      </c>
      <c r="E123" s="4" t="s">
        <v>28</v>
      </c>
      <c r="F123" s="4" t="s">
        <v>399</v>
      </c>
      <c r="G123" s="4" t="s">
        <v>400</v>
      </c>
      <c r="H123" s="4" t="s">
        <v>139</v>
      </c>
      <c r="J123" s="13">
        <v>25</v>
      </c>
      <c r="K123" s="13">
        <v>9</v>
      </c>
      <c r="L123" s="20">
        <v>2008</v>
      </c>
      <c r="M123" s="4" t="s">
        <v>56</v>
      </c>
      <c r="N123" s="4">
        <v>7428</v>
      </c>
      <c r="O123" s="4" t="s">
        <v>31</v>
      </c>
      <c r="P123" s="5">
        <v>6315</v>
      </c>
      <c r="S123" s="52">
        <v>3</v>
      </c>
      <c r="T123" s="5">
        <v>0</v>
      </c>
      <c r="U123" s="15">
        <v>6314</v>
      </c>
      <c r="V123" s="15">
        <v>6314</v>
      </c>
      <c r="W123" s="15">
        <f t="shared" si="11"/>
        <v>0</v>
      </c>
      <c r="X123" s="15">
        <f t="shared" si="12"/>
        <v>1</v>
      </c>
      <c r="Y123" s="7">
        <v>11659</v>
      </c>
      <c r="AB123" s="67">
        <f t="shared" si="10"/>
        <v>36</v>
      </c>
    </row>
    <row r="124" spans="1:28" x14ac:dyDescent="0.25">
      <c r="B124" s="12" t="s">
        <v>401</v>
      </c>
      <c r="C124" s="4" t="s">
        <v>294</v>
      </c>
      <c r="D124" s="4" t="s">
        <v>402</v>
      </c>
      <c r="E124" s="4" t="s">
        <v>403</v>
      </c>
      <c r="F124" s="4" t="s">
        <v>404</v>
      </c>
      <c r="G124" s="12" t="s">
        <v>405</v>
      </c>
      <c r="H124" s="4" t="s">
        <v>406</v>
      </c>
      <c r="J124" s="13">
        <v>23</v>
      </c>
      <c r="K124" s="13">
        <v>10</v>
      </c>
      <c r="L124" s="20">
        <v>2008</v>
      </c>
      <c r="M124" s="4" t="s">
        <v>56</v>
      </c>
      <c r="N124" s="39" t="s">
        <v>407</v>
      </c>
      <c r="O124" s="4" t="s">
        <v>31</v>
      </c>
      <c r="P124" s="5">
        <v>70031.520000000004</v>
      </c>
      <c r="S124" s="52">
        <v>3</v>
      </c>
      <c r="T124" s="5">
        <v>0</v>
      </c>
      <c r="U124" s="15">
        <v>70030.52</v>
      </c>
      <c r="V124" s="15">
        <v>70030.52</v>
      </c>
      <c r="W124" s="15">
        <f t="shared" si="11"/>
        <v>0</v>
      </c>
      <c r="X124" s="15">
        <f t="shared" si="12"/>
        <v>1</v>
      </c>
      <c r="Y124" s="7">
        <v>11606</v>
      </c>
      <c r="AB124" s="67">
        <f t="shared" si="10"/>
        <v>36</v>
      </c>
    </row>
    <row r="125" spans="1:28" x14ac:dyDescent="0.25">
      <c r="B125" s="12" t="s">
        <v>205</v>
      </c>
      <c r="C125" s="4" t="s">
        <v>408</v>
      </c>
      <c r="D125" s="4" t="s">
        <v>402</v>
      </c>
      <c r="E125" s="4" t="s">
        <v>403</v>
      </c>
      <c r="F125" s="4" t="s">
        <v>404</v>
      </c>
      <c r="G125" s="12" t="s">
        <v>409</v>
      </c>
      <c r="H125" s="4" t="s">
        <v>406</v>
      </c>
      <c r="J125" s="13">
        <v>23</v>
      </c>
      <c r="K125" s="13">
        <v>10</v>
      </c>
      <c r="L125" s="20">
        <v>2008</v>
      </c>
      <c r="M125" s="4" t="s">
        <v>56</v>
      </c>
      <c r="N125" s="39" t="s">
        <v>407</v>
      </c>
      <c r="O125" s="4" t="s">
        <v>31</v>
      </c>
      <c r="P125" s="5">
        <v>70031.520000000004</v>
      </c>
      <c r="S125" s="52">
        <v>3</v>
      </c>
      <c r="T125" s="5">
        <v>0</v>
      </c>
      <c r="U125" s="15">
        <v>70030.52</v>
      </c>
      <c r="V125" s="15">
        <v>70030.52</v>
      </c>
      <c r="W125" s="15">
        <f t="shared" si="11"/>
        <v>0</v>
      </c>
      <c r="X125" s="15">
        <f t="shared" si="12"/>
        <v>1</v>
      </c>
      <c r="Y125" s="7">
        <v>11606</v>
      </c>
      <c r="AB125" s="67">
        <f t="shared" si="10"/>
        <v>36</v>
      </c>
    </row>
    <row r="126" spans="1:28" x14ac:dyDescent="0.25">
      <c r="B126" s="12" t="s">
        <v>410</v>
      </c>
      <c r="C126" s="4" t="s">
        <v>248</v>
      </c>
      <c r="D126" s="4" t="s">
        <v>411</v>
      </c>
      <c r="E126" s="4" t="s">
        <v>412</v>
      </c>
      <c r="F126" s="4" t="s">
        <v>413</v>
      </c>
      <c r="G126" s="12" t="s">
        <v>414</v>
      </c>
      <c r="H126" s="4" t="s">
        <v>415</v>
      </c>
      <c r="J126" s="13">
        <v>19</v>
      </c>
      <c r="K126" s="13">
        <v>6</v>
      </c>
      <c r="L126" s="20">
        <v>2008</v>
      </c>
      <c r="M126" s="4" t="s">
        <v>56</v>
      </c>
      <c r="N126" s="4">
        <v>1738</v>
      </c>
      <c r="O126" s="4" t="s">
        <v>31</v>
      </c>
      <c r="P126" s="5">
        <v>513809.68</v>
      </c>
      <c r="S126" s="52">
        <v>3</v>
      </c>
      <c r="T126" s="5">
        <v>0</v>
      </c>
      <c r="U126" s="15">
        <v>513808.68</v>
      </c>
      <c r="V126" s="15">
        <v>513808.68</v>
      </c>
      <c r="W126" s="15">
        <f t="shared" si="11"/>
        <v>0</v>
      </c>
      <c r="X126" s="15">
        <f t="shared" si="12"/>
        <v>1</v>
      </c>
      <c r="Y126" s="7">
        <v>464</v>
      </c>
      <c r="AB126" s="67">
        <f t="shared" si="10"/>
        <v>36</v>
      </c>
    </row>
    <row r="127" spans="1:28" x14ac:dyDescent="0.25">
      <c r="B127" s="12"/>
      <c r="D127" s="4" t="s">
        <v>416</v>
      </c>
      <c r="H127" s="4" t="s">
        <v>394</v>
      </c>
      <c r="J127" s="13">
        <v>19</v>
      </c>
      <c r="K127" s="13">
        <v>6</v>
      </c>
      <c r="L127" s="20">
        <v>2008</v>
      </c>
      <c r="M127" s="4" t="s">
        <v>56</v>
      </c>
      <c r="N127" s="4">
        <v>2507</v>
      </c>
      <c r="O127" s="4" t="s">
        <v>31</v>
      </c>
      <c r="P127" s="5">
        <v>1810464.33</v>
      </c>
      <c r="S127" s="52">
        <v>3</v>
      </c>
      <c r="T127" s="5">
        <v>0</v>
      </c>
      <c r="U127" s="15">
        <v>1810463.33</v>
      </c>
      <c r="V127" s="15">
        <v>1810463.33</v>
      </c>
      <c r="W127" s="15">
        <f t="shared" si="11"/>
        <v>0</v>
      </c>
      <c r="X127" s="15">
        <f t="shared" si="12"/>
        <v>1</v>
      </c>
      <c r="Y127" s="7">
        <v>465</v>
      </c>
      <c r="AB127" s="67">
        <f t="shared" si="10"/>
        <v>36</v>
      </c>
    </row>
    <row r="128" spans="1:28" s="576" customFormat="1" x14ac:dyDescent="0.25">
      <c r="A128" s="4"/>
      <c r="B128" s="12" t="s">
        <v>417</v>
      </c>
      <c r="C128" s="576" t="s">
        <v>65</v>
      </c>
      <c r="D128" s="4" t="s">
        <v>418</v>
      </c>
      <c r="E128" s="4"/>
      <c r="F128" s="4"/>
      <c r="G128" s="4" t="s">
        <v>419</v>
      </c>
      <c r="H128" s="4" t="s">
        <v>394</v>
      </c>
      <c r="I128" s="4"/>
      <c r="J128" s="13">
        <v>19</v>
      </c>
      <c r="K128" s="13">
        <v>12</v>
      </c>
      <c r="L128" s="20">
        <v>2008</v>
      </c>
      <c r="M128" s="4" t="s">
        <v>420</v>
      </c>
      <c r="N128" s="4">
        <v>187</v>
      </c>
      <c r="O128" s="4" t="s">
        <v>31</v>
      </c>
      <c r="P128" s="5">
        <v>100020.58</v>
      </c>
      <c r="Q128" s="51"/>
      <c r="R128" s="51"/>
      <c r="S128" s="52">
        <v>3</v>
      </c>
      <c r="T128" s="5">
        <v>0</v>
      </c>
      <c r="U128" s="15">
        <v>100019.58</v>
      </c>
      <c r="V128" s="15">
        <v>100019.58</v>
      </c>
      <c r="W128" s="15">
        <f t="shared" si="11"/>
        <v>0</v>
      </c>
      <c r="X128" s="15">
        <f t="shared" si="12"/>
        <v>1</v>
      </c>
      <c r="AB128" s="67">
        <f t="shared" si="10"/>
        <v>36</v>
      </c>
    </row>
    <row r="129" spans="1:28" x14ac:dyDescent="0.25">
      <c r="B129" s="12"/>
      <c r="D129" s="4" t="s">
        <v>421</v>
      </c>
      <c r="H129" s="4" t="s">
        <v>394</v>
      </c>
      <c r="J129" s="13">
        <v>19</v>
      </c>
      <c r="K129" s="13">
        <v>12</v>
      </c>
      <c r="L129" s="20">
        <v>2008</v>
      </c>
      <c r="M129" s="4" t="s">
        <v>420</v>
      </c>
      <c r="N129" s="4">
        <v>187</v>
      </c>
      <c r="O129" s="4" t="s">
        <v>31</v>
      </c>
      <c r="P129" s="5">
        <v>89133.03</v>
      </c>
      <c r="S129" s="52">
        <v>3</v>
      </c>
      <c r="T129" s="5">
        <v>0</v>
      </c>
      <c r="U129" s="15">
        <v>89132.03</v>
      </c>
      <c r="V129" s="15">
        <v>89132.03</v>
      </c>
      <c r="W129" s="15">
        <f t="shared" si="11"/>
        <v>0</v>
      </c>
      <c r="X129" s="15">
        <f t="shared" si="12"/>
        <v>1</v>
      </c>
      <c r="Y129" s="7">
        <v>11965</v>
      </c>
      <c r="AB129" s="67">
        <f t="shared" si="10"/>
        <v>36</v>
      </c>
    </row>
    <row r="130" spans="1:28" x14ac:dyDescent="0.25">
      <c r="B130" s="12"/>
      <c r="D130" s="40" t="s">
        <v>422</v>
      </c>
      <c r="E130" s="40" t="s">
        <v>423</v>
      </c>
      <c r="F130" s="40" t="s">
        <v>424</v>
      </c>
      <c r="H130" s="4" t="s">
        <v>425</v>
      </c>
      <c r="J130" s="13">
        <v>13</v>
      </c>
      <c r="K130" s="13">
        <v>2</v>
      </c>
      <c r="L130" s="20">
        <v>2008</v>
      </c>
      <c r="M130" s="4" t="s">
        <v>426</v>
      </c>
      <c r="N130" s="4" t="s">
        <v>427</v>
      </c>
      <c r="O130" s="4" t="s">
        <v>31</v>
      </c>
      <c r="P130" s="5">
        <v>5255.5</v>
      </c>
      <c r="S130" s="52">
        <v>3</v>
      </c>
      <c r="T130" s="5">
        <v>0</v>
      </c>
      <c r="U130" s="15">
        <v>5254.5</v>
      </c>
      <c r="V130" s="15">
        <v>5254.5</v>
      </c>
      <c r="W130" s="15">
        <f t="shared" si="11"/>
        <v>0</v>
      </c>
      <c r="X130" s="15">
        <f t="shared" si="12"/>
        <v>1</v>
      </c>
      <c r="AB130" s="67">
        <f t="shared" si="10"/>
        <v>36</v>
      </c>
    </row>
    <row r="131" spans="1:28" s="27" customFormat="1" x14ac:dyDescent="0.25">
      <c r="A131" s="22" t="s">
        <v>428</v>
      </c>
      <c r="B131" s="22"/>
      <c r="C131" s="23"/>
      <c r="D131" s="23"/>
      <c r="E131" s="23"/>
      <c r="F131" s="23"/>
      <c r="G131" s="23"/>
      <c r="H131" s="23"/>
      <c r="I131" s="23"/>
      <c r="J131" s="24"/>
      <c r="K131" s="24"/>
      <c r="L131" s="25"/>
      <c r="M131" s="23"/>
      <c r="N131" s="23"/>
      <c r="O131" s="23"/>
      <c r="P131" s="26">
        <f>SUM(P67:P130)</f>
        <v>4697733.540000001</v>
      </c>
      <c r="Q131" s="28">
        <f>SUM(Q67:Q130)</f>
        <v>0</v>
      </c>
      <c r="R131" s="28"/>
      <c r="S131" s="28"/>
      <c r="T131" s="26">
        <f t="shared" ref="T131:Y131" si="13">SUM(T67:T130)</f>
        <v>0</v>
      </c>
      <c r="U131" s="26">
        <v>4697669.540000001</v>
      </c>
      <c r="V131" s="26">
        <f t="shared" si="13"/>
        <v>4697669.540000001</v>
      </c>
      <c r="W131" s="26">
        <f t="shared" si="13"/>
        <v>0</v>
      </c>
      <c r="X131" s="26">
        <f t="shared" si="13"/>
        <v>64</v>
      </c>
      <c r="Y131" s="26">
        <f t="shared" si="13"/>
        <v>651417</v>
      </c>
      <c r="AB131" s="31"/>
    </row>
    <row r="132" spans="1:28" x14ac:dyDescent="0.25">
      <c r="B132" s="12"/>
      <c r="AB132" s="16"/>
    </row>
    <row r="133" spans="1:28" s="27" customFormat="1" x14ac:dyDescent="0.25">
      <c r="A133" s="22" t="s">
        <v>429</v>
      </c>
      <c r="B133" s="22"/>
      <c r="C133" s="23"/>
      <c r="D133" s="23"/>
      <c r="E133" s="23"/>
      <c r="F133" s="23"/>
      <c r="G133" s="23"/>
      <c r="H133" s="23"/>
      <c r="I133" s="23"/>
      <c r="J133" s="24"/>
      <c r="K133" s="24"/>
      <c r="L133" s="25"/>
      <c r="M133" s="23"/>
      <c r="N133" s="23"/>
      <c r="O133" s="23"/>
      <c r="P133" s="29">
        <f>+P65+P131</f>
        <v>5552840.8400000008</v>
      </c>
      <c r="Q133" s="28">
        <f>+Q65+Q131</f>
        <v>0</v>
      </c>
      <c r="R133" s="28"/>
      <c r="S133" s="28"/>
      <c r="T133" s="29">
        <f t="shared" ref="T133:Y133" si="14">+T65+T131</f>
        <v>0</v>
      </c>
      <c r="U133" s="29">
        <v>5569046.9788888898</v>
      </c>
      <c r="V133" s="29">
        <f t="shared" si="14"/>
        <v>5569046.9788888898</v>
      </c>
      <c r="W133" s="29">
        <f t="shared" si="14"/>
        <v>0</v>
      </c>
      <c r="X133" s="29">
        <f t="shared" si="14"/>
        <v>113</v>
      </c>
      <c r="Y133" s="29">
        <f t="shared" si="14"/>
        <v>651417</v>
      </c>
      <c r="AB133" s="31"/>
    </row>
    <row r="134" spans="1:28" x14ac:dyDescent="0.25">
      <c r="B134" s="12"/>
      <c r="Q134" s="30"/>
      <c r="R134" s="30"/>
      <c r="S134" s="30"/>
      <c r="V134" s="5"/>
      <c r="W134" s="5"/>
      <c r="X134" s="5"/>
      <c r="AB134" s="16"/>
    </row>
    <row r="135" spans="1:28" x14ac:dyDescent="0.25">
      <c r="B135" s="12"/>
      <c r="Q135" s="30"/>
      <c r="R135" s="30"/>
      <c r="S135" s="30"/>
      <c r="V135" s="5"/>
      <c r="W135" s="5"/>
      <c r="X135" s="5"/>
      <c r="AB135" s="16"/>
    </row>
    <row r="136" spans="1:28" s="33" customFormat="1" x14ac:dyDescent="0.25">
      <c r="B136" s="41" t="s">
        <v>205</v>
      </c>
      <c r="C136" s="33" t="s">
        <v>65</v>
      </c>
      <c r="D136" s="33" t="s">
        <v>103</v>
      </c>
      <c r="E136" s="33" t="s">
        <v>430</v>
      </c>
      <c r="F136" s="40" t="s">
        <v>431</v>
      </c>
      <c r="G136" s="40" t="s">
        <v>432</v>
      </c>
      <c r="H136" s="33" t="s">
        <v>139</v>
      </c>
      <c r="J136" s="33">
        <v>7</v>
      </c>
      <c r="K136" s="33">
        <v>10</v>
      </c>
      <c r="L136" s="33">
        <v>2009</v>
      </c>
      <c r="M136" s="42" t="s">
        <v>420</v>
      </c>
      <c r="N136" s="40">
        <v>465</v>
      </c>
      <c r="O136" s="42" t="s">
        <v>31</v>
      </c>
      <c r="P136" s="43">
        <v>28825</v>
      </c>
      <c r="S136" s="52">
        <v>3</v>
      </c>
      <c r="T136" s="5">
        <v>0</v>
      </c>
      <c r="U136" s="15">
        <v>28824</v>
      </c>
      <c r="V136" s="15">
        <v>28824</v>
      </c>
      <c r="W136" s="15">
        <f t="shared" ref="W136:W174" si="15">V136-U136</f>
        <v>0</v>
      </c>
      <c r="X136" s="15">
        <f t="shared" ref="X136:X174" si="16">IF(W136=0,1)</f>
        <v>1</v>
      </c>
      <c r="Y136" s="33">
        <v>13273</v>
      </c>
      <c r="AB136" s="67">
        <f>IF((DATEDIF(I136,AB$4,"m"))&gt;=36,36,(DATEDIF(I136,AB$4,"m")))</f>
        <v>36</v>
      </c>
    </row>
    <row r="137" spans="1:28" s="33" customFormat="1" x14ac:dyDescent="0.25">
      <c r="B137" s="41"/>
      <c r="D137" s="33" t="s">
        <v>433</v>
      </c>
      <c r="F137" s="40"/>
      <c r="G137" s="40"/>
      <c r="H137" s="33" t="s">
        <v>434</v>
      </c>
      <c r="J137" s="33">
        <v>29</v>
      </c>
      <c r="K137" s="33">
        <v>10</v>
      </c>
      <c r="L137" s="33">
        <v>2009</v>
      </c>
      <c r="M137" s="42" t="s">
        <v>420</v>
      </c>
      <c r="N137" s="40">
        <v>469</v>
      </c>
      <c r="O137" s="42" t="s">
        <v>31</v>
      </c>
      <c r="P137" s="47">
        <v>4457.88</v>
      </c>
      <c r="S137" s="52">
        <v>3</v>
      </c>
      <c r="T137" s="5">
        <v>0</v>
      </c>
      <c r="U137" s="15">
        <v>4456.88</v>
      </c>
      <c r="V137" s="15">
        <v>4456.88</v>
      </c>
      <c r="W137" s="15">
        <f t="shared" si="15"/>
        <v>0</v>
      </c>
      <c r="X137" s="15">
        <f t="shared" si="16"/>
        <v>1</v>
      </c>
      <c r="Y137" s="33">
        <v>13293</v>
      </c>
      <c r="AB137" s="67">
        <f t="shared" ref="AB137:AB174" si="17">IF((DATEDIF(I137,AB$4,"m"))&gt;=36,36,(DATEDIF(I137,AB$4,"m")))</f>
        <v>36</v>
      </c>
    </row>
    <row r="138" spans="1:28" s="51" customFormat="1" x14ac:dyDescent="0.25">
      <c r="B138" s="46" t="s">
        <v>205</v>
      </c>
      <c r="C138" s="577" t="s">
        <v>435</v>
      </c>
      <c r="D138" s="90" t="s">
        <v>436</v>
      </c>
      <c r="E138" s="51" t="s">
        <v>437</v>
      </c>
      <c r="F138" s="51" t="s">
        <v>438</v>
      </c>
      <c r="G138" s="40" t="s">
        <v>439</v>
      </c>
      <c r="H138" s="51" t="s">
        <v>139</v>
      </c>
      <c r="J138" s="51">
        <v>27</v>
      </c>
      <c r="K138" s="51">
        <v>11</v>
      </c>
      <c r="L138" s="51">
        <v>2009</v>
      </c>
      <c r="M138" s="648" t="s">
        <v>420</v>
      </c>
      <c r="N138" s="40">
        <v>495</v>
      </c>
      <c r="O138" s="648" t="s">
        <v>31</v>
      </c>
      <c r="P138" s="649">
        <v>29375</v>
      </c>
      <c r="S138" s="52">
        <v>3</v>
      </c>
      <c r="T138" s="5">
        <v>0</v>
      </c>
      <c r="U138" s="15">
        <v>29374</v>
      </c>
      <c r="V138" s="15">
        <v>29374</v>
      </c>
      <c r="W138" s="15">
        <f t="shared" si="15"/>
        <v>0</v>
      </c>
      <c r="X138" s="15">
        <f t="shared" si="16"/>
        <v>1</v>
      </c>
      <c r="Y138" s="51">
        <v>13402</v>
      </c>
      <c r="AB138" s="67">
        <f t="shared" si="17"/>
        <v>36</v>
      </c>
    </row>
    <row r="139" spans="1:28" s="51" customFormat="1" x14ac:dyDescent="0.25">
      <c r="B139" s="46" t="s">
        <v>205</v>
      </c>
      <c r="C139" s="577" t="s">
        <v>440</v>
      </c>
      <c r="D139" s="90" t="s">
        <v>436</v>
      </c>
      <c r="E139" s="51" t="s">
        <v>437</v>
      </c>
      <c r="F139" s="51" t="s">
        <v>438</v>
      </c>
      <c r="G139" s="40" t="s">
        <v>441</v>
      </c>
      <c r="H139" s="51" t="s">
        <v>139</v>
      </c>
      <c r="J139" s="51">
        <v>27</v>
      </c>
      <c r="K139" s="51">
        <v>11</v>
      </c>
      <c r="L139" s="51">
        <v>2009</v>
      </c>
      <c r="M139" s="648" t="s">
        <v>420</v>
      </c>
      <c r="N139" s="40">
        <v>496</v>
      </c>
      <c r="O139" s="648" t="s">
        <v>31</v>
      </c>
      <c r="P139" s="649">
        <v>29375</v>
      </c>
      <c r="S139" s="52">
        <v>3</v>
      </c>
      <c r="T139" s="5">
        <v>0</v>
      </c>
      <c r="U139" s="15">
        <v>29374</v>
      </c>
      <c r="V139" s="15">
        <v>29374</v>
      </c>
      <c r="W139" s="15">
        <f t="shared" si="15"/>
        <v>0</v>
      </c>
      <c r="X139" s="15">
        <f t="shared" si="16"/>
        <v>1</v>
      </c>
      <c r="Y139" s="51">
        <v>13402</v>
      </c>
      <c r="AB139" s="67">
        <f t="shared" si="17"/>
        <v>36</v>
      </c>
    </row>
    <row r="140" spans="1:28" s="33" customFormat="1" x14ac:dyDescent="0.25">
      <c r="B140" s="41" t="s">
        <v>205</v>
      </c>
      <c r="C140" s="33" t="s">
        <v>442</v>
      </c>
      <c r="D140" s="90" t="s">
        <v>436</v>
      </c>
      <c r="E140" s="33" t="s">
        <v>437</v>
      </c>
      <c r="F140" s="33" t="s">
        <v>438</v>
      </c>
      <c r="G140" s="40" t="s">
        <v>443</v>
      </c>
      <c r="H140" s="33" t="s">
        <v>139</v>
      </c>
      <c r="J140" s="33">
        <v>27</v>
      </c>
      <c r="K140" s="33">
        <v>11</v>
      </c>
      <c r="L140" s="33">
        <v>2009</v>
      </c>
      <c r="M140" s="42" t="s">
        <v>420</v>
      </c>
      <c r="N140" s="40">
        <v>497</v>
      </c>
      <c r="O140" s="42" t="s">
        <v>31</v>
      </c>
      <c r="P140" s="47">
        <v>29375</v>
      </c>
      <c r="S140" s="52">
        <v>3</v>
      </c>
      <c r="T140" s="5">
        <v>0</v>
      </c>
      <c r="U140" s="15">
        <v>29374</v>
      </c>
      <c r="V140" s="15">
        <v>29374</v>
      </c>
      <c r="W140" s="15">
        <f t="shared" si="15"/>
        <v>0</v>
      </c>
      <c r="X140" s="15">
        <f t="shared" si="16"/>
        <v>1</v>
      </c>
      <c r="Y140" s="33">
        <v>13402</v>
      </c>
      <c r="AB140" s="67">
        <f t="shared" si="17"/>
        <v>36</v>
      </c>
    </row>
    <row r="141" spans="1:28" s="33" customFormat="1" x14ac:dyDescent="0.25">
      <c r="B141" s="41" t="s">
        <v>205</v>
      </c>
      <c r="C141" s="33" t="s">
        <v>444</v>
      </c>
      <c r="D141" s="90" t="s">
        <v>436</v>
      </c>
      <c r="E141" s="33" t="s">
        <v>437</v>
      </c>
      <c r="F141" s="33" t="s">
        <v>438</v>
      </c>
      <c r="G141" s="40" t="s">
        <v>445</v>
      </c>
      <c r="H141" s="33" t="s">
        <v>139</v>
      </c>
      <c r="J141" s="33">
        <v>27</v>
      </c>
      <c r="K141" s="33">
        <v>11</v>
      </c>
      <c r="L141" s="33">
        <v>2009</v>
      </c>
      <c r="M141" s="42" t="s">
        <v>420</v>
      </c>
      <c r="N141" s="40">
        <v>498</v>
      </c>
      <c r="O141" s="42" t="s">
        <v>31</v>
      </c>
      <c r="P141" s="47">
        <v>29375</v>
      </c>
      <c r="S141" s="52">
        <v>3</v>
      </c>
      <c r="T141" s="5">
        <v>0</v>
      </c>
      <c r="U141" s="15">
        <v>29374</v>
      </c>
      <c r="V141" s="15">
        <v>29374</v>
      </c>
      <c r="W141" s="15">
        <f t="shared" si="15"/>
        <v>0</v>
      </c>
      <c r="X141" s="15">
        <f t="shared" si="16"/>
        <v>1</v>
      </c>
      <c r="Y141" s="33">
        <v>13402</v>
      </c>
      <c r="AB141" s="67">
        <f t="shared" si="17"/>
        <v>36</v>
      </c>
    </row>
    <row r="142" spans="1:28" s="33" customFormat="1" x14ac:dyDescent="0.25">
      <c r="B142" s="41" t="s">
        <v>205</v>
      </c>
      <c r="C142" s="33" t="s">
        <v>446</v>
      </c>
      <c r="D142" s="90" t="s">
        <v>436</v>
      </c>
      <c r="E142" s="33" t="s">
        <v>437</v>
      </c>
      <c r="F142" s="33" t="s">
        <v>438</v>
      </c>
      <c r="G142" s="40" t="s">
        <v>447</v>
      </c>
      <c r="H142" s="33" t="s">
        <v>139</v>
      </c>
      <c r="J142" s="33">
        <v>27</v>
      </c>
      <c r="K142" s="33">
        <v>11</v>
      </c>
      <c r="L142" s="33">
        <v>2009</v>
      </c>
      <c r="M142" s="42" t="s">
        <v>420</v>
      </c>
      <c r="N142" s="40">
        <v>499</v>
      </c>
      <c r="O142" s="42" t="s">
        <v>31</v>
      </c>
      <c r="P142" s="47">
        <v>29375</v>
      </c>
      <c r="S142" s="52">
        <v>3</v>
      </c>
      <c r="T142" s="5">
        <v>0</v>
      </c>
      <c r="U142" s="15">
        <v>29374</v>
      </c>
      <c r="V142" s="15">
        <v>29374</v>
      </c>
      <c r="W142" s="15">
        <f t="shared" si="15"/>
        <v>0</v>
      </c>
      <c r="X142" s="15">
        <f t="shared" si="16"/>
        <v>1</v>
      </c>
      <c r="Y142" s="33">
        <v>13402</v>
      </c>
      <c r="AB142" s="67">
        <f t="shared" si="17"/>
        <v>36</v>
      </c>
    </row>
    <row r="143" spans="1:28" s="51" customFormat="1" x14ac:dyDescent="0.25">
      <c r="B143" s="46" t="s">
        <v>448</v>
      </c>
      <c r="C143" s="577" t="s">
        <v>435</v>
      </c>
      <c r="D143" s="51" t="s">
        <v>449</v>
      </c>
      <c r="E143" s="51" t="s">
        <v>450</v>
      </c>
      <c r="F143" s="51" t="s">
        <v>451</v>
      </c>
      <c r="G143" s="40" t="s">
        <v>452</v>
      </c>
      <c r="H143" s="51" t="s">
        <v>139</v>
      </c>
      <c r="J143" s="51">
        <v>27</v>
      </c>
      <c r="K143" s="51">
        <v>11</v>
      </c>
      <c r="L143" s="51">
        <v>2009</v>
      </c>
      <c r="M143" s="648" t="s">
        <v>420</v>
      </c>
      <c r="N143" s="40">
        <v>499</v>
      </c>
      <c r="O143" s="648" t="s">
        <v>31</v>
      </c>
      <c r="P143" s="649">
        <v>7020</v>
      </c>
      <c r="S143" s="52">
        <v>3</v>
      </c>
      <c r="T143" s="5">
        <v>0</v>
      </c>
      <c r="U143" s="15">
        <v>7018.9999999999991</v>
      </c>
      <c r="V143" s="15">
        <v>7018.9999999999991</v>
      </c>
      <c r="W143" s="15">
        <f t="shared" si="15"/>
        <v>0</v>
      </c>
      <c r="X143" s="15">
        <f t="shared" si="16"/>
        <v>1</v>
      </c>
      <c r="Y143" s="51">
        <v>13402</v>
      </c>
      <c r="AB143" s="67">
        <f t="shared" si="17"/>
        <v>36</v>
      </c>
    </row>
    <row r="144" spans="1:28" s="51" customFormat="1" x14ac:dyDescent="0.25">
      <c r="B144" s="46" t="s">
        <v>205</v>
      </c>
      <c r="C144" s="577" t="s">
        <v>440</v>
      </c>
      <c r="D144" s="51" t="s">
        <v>449</v>
      </c>
      <c r="E144" s="51" t="s">
        <v>450</v>
      </c>
      <c r="F144" s="51" t="s">
        <v>451</v>
      </c>
      <c r="G144" s="40" t="s">
        <v>453</v>
      </c>
      <c r="H144" s="51" t="s">
        <v>139</v>
      </c>
      <c r="J144" s="51">
        <v>27</v>
      </c>
      <c r="K144" s="51">
        <v>11</v>
      </c>
      <c r="L144" s="51">
        <v>2009</v>
      </c>
      <c r="M144" s="648" t="s">
        <v>420</v>
      </c>
      <c r="N144" s="40">
        <v>500</v>
      </c>
      <c r="O144" s="648" t="s">
        <v>31</v>
      </c>
      <c r="P144" s="649">
        <v>7020</v>
      </c>
      <c r="S144" s="52">
        <v>3</v>
      </c>
      <c r="T144" s="5">
        <v>0</v>
      </c>
      <c r="U144" s="15">
        <v>7018.9999999999991</v>
      </c>
      <c r="V144" s="15">
        <v>7018.9999999999991</v>
      </c>
      <c r="W144" s="15">
        <f t="shared" si="15"/>
        <v>0</v>
      </c>
      <c r="X144" s="15">
        <f t="shared" si="16"/>
        <v>1</v>
      </c>
      <c r="Y144" s="51">
        <v>13402</v>
      </c>
      <c r="AB144" s="67">
        <f t="shared" si="17"/>
        <v>36</v>
      </c>
    </row>
    <row r="145" spans="1:28" s="33" customFormat="1" x14ac:dyDescent="0.25">
      <c r="B145" s="41" t="s">
        <v>205</v>
      </c>
      <c r="C145" s="33" t="s">
        <v>442</v>
      </c>
      <c r="D145" s="33" t="s">
        <v>449</v>
      </c>
      <c r="E145" s="33" t="s">
        <v>450</v>
      </c>
      <c r="F145" s="33" t="s">
        <v>451</v>
      </c>
      <c r="G145" s="40" t="s">
        <v>454</v>
      </c>
      <c r="H145" s="33" t="s">
        <v>139</v>
      </c>
      <c r="J145" s="33">
        <v>27</v>
      </c>
      <c r="K145" s="33">
        <v>11</v>
      </c>
      <c r="L145" s="33">
        <v>2009</v>
      </c>
      <c r="M145" s="42" t="s">
        <v>420</v>
      </c>
      <c r="N145" s="40">
        <v>501</v>
      </c>
      <c r="O145" s="42" t="s">
        <v>31</v>
      </c>
      <c r="P145" s="47">
        <v>7020</v>
      </c>
      <c r="S145" s="52">
        <v>3</v>
      </c>
      <c r="T145" s="5">
        <v>0</v>
      </c>
      <c r="U145" s="15">
        <v>7018.9999999999991</v>
      </c>
      <c r="V145" s="15">
        <v>7018.9999999999991</v>
      </c>
      <c r="W145" s="15">
        <f t="shared" si="15"/>
        <v>0</v>
      </c>
      <c r="X145" s="15">
        <f t="shared" si="16"/>
        <v>1</v>
      </c>
      <c r="Y145" s="33">
        <v>13402</v>
      </c>
      <c r="AB145" s="67">
        <f t="shared" si="17"/>
        <v>36</v>
      </c>
    </row>
    <row r="146" spans="1:28" s="33" customFormat="1" x14ac:dyDescent="0.25">
      <c r="B146" s="41" t="s">
        <v>205</v>
      </c>
      <c r="C146" s="33" t="s">
        <v>444</v>
      </c>
      <c r="D146" s="33" t="s">
        <v>449</v>
      </c>
      <c r="E146" s="33" t="s">
        <v>450</v>
      </c>
      <c r="F146" s="33" t="s">
        <v>451</v>
      </c>
      <c r="G146" s="40" t="s">
        <v>455</v>
      </c>
      <c r="H146" s="33" t="s">
        <v>139</v>
      </c>
      <c r="J146" s="33">
        <v>27</v>
      </c>
      <c r="K146" s="33">
        <v>11</v>
      </c>
      <c r="L146" s="33">
        <v>2009</v>
      </c>
      <c r="M146" s="42" t="s">
        <v>420</v>
      </c>
      <c r="N146" s="40">
        <v>502</v>
      </c>
      <c r="O146" s="42" t="s">
        <v>31</v>
      </c>
      <c r="P146" s="47">
        <v>7020</v>
      </c>
      <c r="S146" s="52">
        <v>3</v>
      </c>
      <c r="T146" s="5">
        <v>0</v>
      </c>
      <c r="U146" s="15">
        <v>7018.9999999999991</v>
      </c>
      <c r="V146" s="15">
        <v>7018.9999999999991</v>
      </c>
      <c r="W146" s="15">
        <f t="shared" si="15"/>
        <v>0</v>
      </c>
      <c r="X146" s="15">
        <f t="shared" si="16"/>
        <v>1</v>
      </c>
      <c r="Y146" s="33">
        <v>13402</v>
      </c>
      <c r="AB146" s="67">
        <f t="shared" si="17"/>
        <v>36</v>
      </c>
    </row>
    <row r="147" spans="1:28" s="33" customFormat="1" x14ac:dyDescent="0.25">
      <c r="B147" s="41" t="s">
        <v>205</v>
      </c>
      <c r="C147" s="33" t="s">
        <v>446</v>
      </c>
      <c r="D147" s="33" t="s">
        <v>449</v>
      </c>
      <c r="E147" s="33" t="s">
        <v>450</v>
      </c>
      <c r="F147" s="33" t="s">
        <v>451</v>
      </c>
      <c r="G147" s="40" t="s">
        <v>456</v>
      </c>
      <c r="H147" s="33" t="s">
        <v>139</v>
      </c>
      <c r="J147" s="33">
        <v>27</v>
      </c>
      <c r="K147" s="33">
        <v>11</v>
      </c>
      <c r="L147" s="33">
        <v>2009</v>
      </c>
      <c r="M147" s="42" t="s">
        <v>420</v>
      </c>
      <c r="N147" s="40">
        <v>503</v>
      </c>
      <c r="O147" s="42" t="s">
        <v>31</v>
      </c>
      <c r="P147" s="47">
        <v>7020</v>
      </c>
      <c r="S147" s="52">
        <v>3</v>
      </c>
      <c r="T147" s="5">
        <v>0</v>
      </c>
      <c r="U147" s="15">
        <v>7018.9999999999991</v>
      </c>
      <c r="V147" s="15">
        <v>7018.9999999999991</v>
      </c>
      <c r="W147" s="15">
        <f t="shared" si="15"/>
        <v>0</v>
      </c>
      <c r="X147" s="15">
        <f t="shared" si="16"/>
        <v>1</v>
      </c>
      <c r="Y147" s="33">
        <v>13402</v>
      </c>
      <c r="AB147" s="67">
        <f t="shared" si="17"/>
        <v>36</v>
      </c>
    </row>
    <row r="148" spans="1:28" s="33" customFormat="1" x14ac:dyDescent="0.25">
      <c r="A148" s="40"/>
      <c r="B148" s="48" t="s">
        <v>205</v>
      </c>
      <c r="C148" s="40" t="s">
        <v>457</v>
      </c>
      <c r="D148" s="40" t="s">
        <v>458</v>
      </c>
      <c r="E148" s="33" t="s">
        <v>459</v>
      </c>
      <c r="F148" s="33" t="s">
        <v>460</v>
      </c>
      <c r="G148" s="40">
        <v>75118265</v>
      </c>
      <c r="H148" s="40" t="s">
        <v>461</v>
      </c>
      <c r="J148" s="33">
        <v>4</v>
      </c>
      <c r="K148" s="33">
        <v>1</v>
      </c>
      <c r="L148" s="33">
        <v>2009</v>
      </c>
      <c r="M148" s="42" t="s">
        <v>420</v>
      </c>
      <c r="N148" s="40">
        <v>262</v>
      </c>
      <c r="O148" s="42" t="s">
        <v>31</v>
      </c>
      <c r="P148" s="47">
        <v>26000</v>
      </c>
      <c r="S148" s="52">
        <v>3</v>
      </c>
      <c r="T148" s="5">
        <v>0</v>
      </c>
      <c r="U148" s="15">
        <v>25999</v>
      </c>
      <c r="V148" s="15">
        <v>25999</v>
      </c>
      <c r="W148" s="15">
        <f t="shared" si="15"/>
        <v>0</v>
      </c>
      <c r="X148" s="15">
        <f t="shared" si="16"/>
        <v>1</v>
      </c>
      <c r="Y148" s="49">
        <v>12301</v>
      </c>
      <c r="AB148" s="67">
        <f t="shared" si="17"/>
        <v>36</v>
      </c>
    </row>
    <row r="149" spans="1:28" s="33" customFormat="1" x14ac:dyDescent="0.25">
      <c r="A149" s="40"/>
      <c r="B149" s="48" t="s">
        <v>462</v>
      </c>
      <c r="C149" s="40" t="s">
        <v>463</v>
      </c>
      <c r="D149" s="40" t="s">
        <v>458</v>
      </c>
      <c r="E149" s="33" t="s">
        <v>459</v>
      </c>
      <c r="F149" s="33" t="s">
        <v>460</v>
      </c>
      <c r="G149" s="40">
        <v>75031330</v>
      </c>
      <c r="H149" s="40" t="s">
        <v>461</v>
      </c>
      <c r="I149" s="40"/>
      <c r="J149" s="33">
        <v>4</v>
      </c>
      <c r="K149" s="33">
        <v>1</v>
      </c>
      <c r="L149" s="33">
        <v>2009</v>
      </c>
      <c r="M149" s="42" t="s">
        <v>420</v>
      </c>
      <c r="N149" s="40">
        <v>262</v>
      </c>
      <c r="O149" s="42" t="s">
        <v>31</v>
      </c>
      <c r="P149" s="47">
        <v>26000</v>
      </c>
      <c r="S149" s="52">
        <v>3</v>
      </c>
      <c r="T149" s="5">
        <v>0</v>
      </c>
      <c r="U149" s="15">
        <v>25999</v>
      </c>
      <c r="V149" s="15">
        <v>25999</v>
      </c>
      <c r="W149" s="15">
        <f t="shared" si="15"/>
        <v>0</v>
      </c>
      <c r="X149" s="15">
        <f t="shared" si="16"/>
        <v>1</v>
      </c>
      <c r="Y149" s="49">
        <v>12301</v>
      </c>
      <c r="AB149" s="67">
        <f t="shared" si="17"/>
        <v>36</v>
      </c>
    </row>
    <row r="150" spans="1:28" s="33" customFormat="1" x14ac:dyDescent="0.25">
      <c r="A150" s="40"/>
      <c r="B150" s="48" t="s">
        <v>205</v>
      </c>
      <c r="C150" s="40" t="s">
        <v>170</v>
      </c>
      <c r="D150" s="40" t="s">
        <v>464</v>
      </c>
      <c r="E150" s="33" t="s">
        <v>465</v>
      </c>
      <c r="F150" s="33" t="s">
        <v>466</v>
      </c>
      <c r="G150" s="40" t="s">
        <v>467</v>
      </c>
      <c r="H150" s="33" t="s">
        <v>468</v>
      </c>
      <c r="I150" s="40"/>
      <c r="J150" s="33">
        <v>12</v>
      </c>
      <c r="K150" s="33">
        <v>8</v>
      </c>
      <c r="L150" s="42">
        <v>2009</v>
      </c>
      <c r="M150" s="40" t="s">
        <v>420</v>
      </c>
      <c r="N150" s="40">
        <v>411</v>
      </c>
      <c r="O150" s="42" t="s">
        <v>31</v>
      </c>
      <c r="P150" s="47">
        <v>484513.7</v>
      </c>
      <c r="S150" s="52">
        <v>3</v>
      </c>
      <c r="T150" s="5">
        <v>0</v>
      </c>
      <c r="U150" s="15">
        <v>484512.7</v>
      </c>
      <c r="V150" s="15">
        <v>484512.7</v>
      </c>
      <c r="W150" s="15">
        <f t="shared" si="15"/>
        <v>0</v>
      </c>
      <c r="X150" s="15">
        <f t="shared" si="16"/>
        <v>1</v>
      </c>
      <c r="Y150" s="33">
        <v>12955</v>
      </c>
      <c r="AB150" s="67">
        <f t="shared" si="17"/>
        <v>36</v>
      </c>
    </row>
    <row r="151" spans="1:28" s="33" customFormat="1" x14ac:dyDescent="0.25">
      <c r="A151" s="40"/>
      <c r="B151" s="48" t="s">
        <v>469</v>
      </c>
      <c r="C151" s="40" t="s">
        <v>470</v>
      </c>
      <c r="D151" s="575" t="s">
        <v>471</v>
      </c>
      <c r="E151" s="33" t="s">
        <v>472</v>
      </c>
      <c r="F151" s="33" t="s">
        <v>473</v>
      </c>
      <c r="G151" s="40" t="s">
        <v>474</v>
      </c>
      <c r="H151" s="33" t="s">
        <v>246</v>
      </c>
      <c r="I151" s="40"/>
      <c r="J151" s="33">
        <v>3</v>
      </c>
      <c r="K151" s="33">
        <v>6</v>
      </c>
      <c r="L151" s="33">
        <v>2009</v>
      </c>
      <c r="M151" s="40" t="s">
        <v>56</v>
      </c>
      <c r="N151" s="40">
        <v>13745</v>
      </c>
      <c r="O151" s="42" t="s">
        <v>31</v>
      </c>
      <c r="P151" s="50">
        <v>33247.012000000002</v>
      </c>
      <c r="S151" s="52">
        <v>3</v>
      </c>
      <c r="T151" s="5">
        <v>0</v>
      </c>
      <c r="U151" s="15">
        <v>33246.012000000002</v>
      </c>
      <c r="V151" s="15">
        <v>33246.012000000002</v>
      </c>
      <c r="W151" s="15">
        <f t="shared" si="15"/>
        <v>0</v>
      </c>
      <c r="X151" s="15">
        <f t="shared" si="16"/>
        <v>1</v>
      </c>
      <c r="Y151" s="33" t="s">
        <v>475</v>
      </c>
      <c r="AB151" s="67">
        <f t="shared" si="17"/>
        <v>36</v>
      </c>
    </row>
    <row r="152" spans="1:28" s="33" customFormat="1" x14ac:dyDescent="0.25">
      <c r="A152" s="40"/>
      <c r="B152" s="48" t="s">
        <v>476</v>
      </c>
      <c r="C152" s="40" t="s">
        <v>477</v>
      </c>
      <c r="D152" s="575" t="s">
        <v>471</v>
      </c>
      <c r="E152" s="33" t="s">
        <v>472</v>
      </c>
      <c r="F152" s="33" t="s">
        <v>473</v>
      </c>
      <c r="G152" s="40" t="s">
        <v>478</v>
      </c>
      <c r="H152" s="33" t="s">
        <v>246</v>
      </c>
      <c r="I152" s="40"/>
      <c r="J152" s="33">
        <v>3</v>
      </c>
      <c r="K152" s="33">
        <v>6</v>
      </c>
      <c r="L152" s="33">
        <v>2009</v>
      </c>
      <c r="M152" s="40" t="s">
        <v>56</v>
      </c>
      <c r="N152" s="40">
        <v>13745</v>
      </c>
      <c r="O152" s="42" t="s">
        <v>31</v>
      </c>
      <c r="P152" s="50">
        <v>33247.012000000002</v>
      </c>
      <c r="S152" s="52">
        <v>3</v>
      </c>
      <c r="T152" s="5">
        <v>0</v>
      </c>
      <c r="U152" s="15">
        <v>33246.012000000002</v>
      </c>
      <c r="V152" s="15">
        <v>33246.012000000002</v>
      </c>
      <c r="W152" s="15">
        <f t="shared" si="15"/>
        <v>0</v>
      </c>
      <c r="X152" s="15">
        <f t="shared" si="16"/>
        <v>1</v>
      </c>
      <c r="Y152" s="33" t="s">
        <v>479</v>
      </c>
      <c r="AB152" s="67">
        <f t="shared" si="17"/>
        <v>36</v>
      </c>
    </row>
    <row r="153" spans="1:28" s="33" customFormat="1" x14ac:dyDescent="0.25">
      <c r="A153" s="40"/>
      <c r="B153" s="48" t="s">
        <v>480</v>
      </c>
      <c r="C153" s="40" t="s">
        <v>65</v>
      </c>
      <c r="D153" s="575" t="s">
        <v>471</v>
      </c>
      <c r="E153" s="33" t="s">
        <v>472</v>
      </c>
      <c r="F153" s="33" t="s">
        <v>473</v>
      </c>
      <c r="G153" s="40" t="s">
        <v>481</v>
      </c>
      <c r="H153" s="33" t="s">
        <v>246</v>
      </c>
      <c r="I153" s="40"/>
      <c r="J153" s="33">
        <v>3</v>
      </c>
      <c r="K153" s="33">
        <v>6</v>
      </c>
      <c r="L153" s="33">
        <v>2009</v>
      </c>
      <c r="M153" s="40" t="s">
        <v>56</v>
      </c>
      <c r="N153" s="40">
        <v>13745</v>
      </c>
      <c r="O153" s="42" t="s">
        <v>31</v>
      </c>
      <c r="P153" s="50">
        <v>33247.012000000002</v>
      </c>
      <c r="S153" s="52">
        <v>3</v>
      </c>
      <c r="T153" s="5">
        <v>0</v>
      </c>
      <c r="U153" s="15">
        <v>33246.012000000002</v>
      </c>
      <c r="V153" s="15">
        <v>33246.012000000002</v>
      </c>
      <c r="W153" s="15">
        <f t="shared" si="15"/>
        <v>0</v>
      </c>
      <c r="X153" s="15">
        <f t="shared" si="16"/>
        <v>1</v>
      </c>
      <c r="Y153" s="33" t="s">
        <v>482</v>
      </c>
      <c r="AB153" s="67">
        <f t="shared" si="17"/>
        <v>36</v>
      </c>
    </row>
    <row r="154" spans="1:28" s="33" customFormat="1" x14ac:dyDescent="0.25">
      <c r="A154" s="40"/>
      <c r="B154" s="48" t="s">
        <v>205</v>
      </c>
      <c r="C154" s="40" t="s">
        <v>483</v>
      </c>
      <c r="D154" s="575" t="s">
        <v>471</v>
      </c>
      <c r="E154" s="33" t="s">
        <v>472</v>
      </c>
      <c r="F154" s="33" t="s">
        <v>473</v>
      </c>
      <c r="G154" s="40" t="s">
        <v>484</v>
      </c>
      <c r="H154" s="33" t="s">
        <v>246</v>
      </c>
      <c r="I154" s="40"/>
      <c r="J154" s="33">
        <v>3</v>
      </c>
      <c r="K154" s="33">
        <v>6</v>
      </c>
      <c r="L154" s="33">
        <v>2009</v>
      </c>
      <c r="M154" s="40" t="s">
        <v>56</v>
      </c>
      <c r="N154" s="40">
        <v>13745</v>
      </c>
      <c r="O154" s="42" t="s">
        <v>31</v>
      </c>
      <c r="P154" s="50">
        <v>33247.012000000002</v>
      </c>
      <c r="S154" s="52">
        <v>3</v>
      </c>
      <c r="T154" s="5">
        <v>0</v>
      </c>
      <c r="U154" s="15">
        <v>33246.012000000002</v>
      </c>
      <c r="V154" s="15">
        <v>33246.012000000002</v>
      </c>
      <c r="W154" s="15">
        <f t="shared" si="15"/>
        <v>0</v>
      </c>
      <c r="X154" s="15">
        <f t="shared" si="16"/>
        <v>1</v>
      </c>
      <c r="Y154" s="33" t="s">
        <v>485</v>
      </c>
      <c r="AB154" s="67">
        <f t="shared" si="17"/>
        <v>36</v>
      </c>
    </row>
    <row r="155" spans="1:28" s="33" customFormat="1" x14ac:dyDescent="0.25">
      <c r="A155" s="40"/>
      <c r="B155" s="48" t="s">
        <v>486</v>
      </c>
      <c r="C155" s="40" t="s">
        <v>487</v>
      </c>
      <c r="D155" s="575" t="s">
        <v>471</v>
      </c>
      <c r="E155" s="33" t="s">
        <v>472</v>
      </c>
      <c r="F155" s="33" t="s">
        <v>473</v>
      </c>
      <c r="G155" s="40" t="s">
        <v>488</v>
      </c>
      <c r="H155" s="33" t="s">
        <v>246</v>
      </c>
      <c r="I155" s="40"/>
      <c r="J155" s="33">
        <v>3</v>
      </c>
      <c r="K155" s="33">
        <v>6</v>
      </c>
      <c r="L155" s="33">
        <v>2009</v>
      </c>
      <c r="M155" s="40" t="s">
        <v>56</v>
      </c>
      <c r="N155" s="40">
        <v>13745</v>
      </c>
      <c r="O155" s="42" t="s">
        <v>31</v>
      </c>
      <c r="P155" s="50">
        <v>33247.012000000002</v>
      </c>
      <c r="S155" s="52">
        <v>3</v>
      </c>
      <c r="T155" s="5">
        <v>0</v>
      </c>
      <c r="U155" s="15">
        <v>33246.012000000002</v>
      </c>
      <c r="V155" s="15">
        <v>33246.012000000002</v>
      </c>
      <c r="W155" s="15">
        <f t="shared" si="15"/>
        <v>0</v>
      </c>
      <c r="X155" s="15">
        <f t="shared" si="16"/>
        <v>1</v>
      </c>
      <c r="Y155" s="33" t="s">
        <v>489</v>
      </c>
      <c r="AB155" s="67">
        <f t="shared" si="17"/>
        <v>36</v>
      </c>
    </row>
    <row r="156" spans="1:28" s="33" customFormat="1" x14ac:dyDescent="0.25">
      <c r="B156" s="48" t="s">
        <v>490</v>
      </c>
      <c r="C156" s="33" t="s">
        <v>491</v>
      </c>
      <c r="D156" s="575" t="s">
        <v>471</v>
      </c>
      <c r="E156" s="33" t="s">
        <v>472</v>
      </c>
      <c r="F156" s="33" t="s">
        <v>473</v>
      </c>
      <c r="G156" s="40" t="s">
        <v>492</v>
      </c>
      <c r="H156" s="33" t="s">
        <v>246</v>
      </c>
      <c r="I156" s="40"/>
      <c r="J156" s="33">
        <v>3</v>
      </c>
      <c r="K156" s="33">
        <v>6</v>
      </c>
      <c r="L156" s="33">
        <v>2009</v>
      </c>
      <c r="M156" s="40" t="s">
        <v>56</v>
      </c>
      <c r="N156" s="40">
        <v>13745</v>
      </c>
      <c r="O156" s="42" t="s">
        <v>31</v>
      </c>
      <c r="P156" s="50">
        <v>33247.012000000002</v>
      </c>
      <c r="S156" s="52">
        <v>3</v>
      </c>
      <c r="T156" s="5">
        <v>0</v>
      </c>
      <c r="U156" s="15">
        <v>33246.012000000002</v>
      </c>
      <c r="V156" s="15">
        <v>33246.012000000002</v>
      </c>
      <c r="W156" s="15">
        <f t="shared" si="15"/>
        <v>0</v>
      </c>
      <c r="X156" s="15">
        <f t="shared" si="16"/>
        <v>1</v>
      </c>
      <c r="Y156" s="33" t="s">
        <v>493</v>
      </c>
      <c r="AB156" s="67">
        <f t="shared" si="17"/>
        <v>36</v>
      </c>
    </row>
    <row r="157" spans="1:28" s="33" customFormat="1" x14ac:dyDescent="0.25">
      <c r="B157" s="48" t="s">
        <v>494</v>
      </c>
      <c r="C157" s="33" t="s">
        <v>495</v>
      </c>
      <c r="D157" s="575" t="s">
        <v>471</v>
      </c>
      <c r="E157" s="33" t="s">
        <v>472</v>
      </c>
      <c r="F157" s="33" t="s">
        <v>473</v>
      </c>
      <c r="G157" s="40" t="s">
        <v>496</v>
      </c>
      <c r="H157" s="33" t="s">
        <v>246</v>
      </c>
      <c r="I157" s="40"/>
      <c r="J157" s="33">
        <v>3</v>
      </c>
      <c r="K157" s="33">
        <v>6</v>
      </c>
      <c r="L157" s="33">
        <v>2009</v>
      </c>
      <c r="M157" s="40" t="s">
        <v>56</v>
      </c>
      <c r="N157" s="40">
        <v>13745</v>
      </c>
      <c r="O157" s="42" t="s">
        <v>31</v>
      </c>
      <c r="P157" s="50">
        <v>33247.012000000002</v>
      </c>
      <c r="S157" s="52">
        <v>3</v>
      </c>
      <c r="T157" s="5">
        <v>0</v>
      </c>
      <c r="U157" s="15">
        <v>33246.012000000002</v>
      </c>
      <c r="V157" s="15">
        <v>33246.012000000002</v>
      </c>
      <c r="W157" s="15">
        <f t="shared" si="15"/>
        <v>0</v>
      </c>
      <c r="X157" s="15">
        <f t="shared" si="16"/>
        <v>1</v>
      </c>
      <c r="Y157" s="33" t="s">
        <v>497</v>
      </c>
      <c r="AB157" s="67">
        <f t="shared" si="17"/>
        <v>36</v>
      </c>
    </row>
    <row r="158" spans="1:28" s="33" customFormat="1" x14ac:dyDescent="0.25">
      <c r="B158" s="41" t="s">
        <v>205</v>
      </c>
      <c r="C158" s="33" t="s">
        <v>498</v>
      </c>
      <c r="D158" s="575" t="s">
        <v>471</v>
      </c>
      <c r="E158" s="33" t="s">
        <v>472</v>
      </c>
      <c r="F158" s="33" t="s">
        <v>473</v>
      </c>
      <c r="G158" s="40" t="s">
        <v>499</v>
      </c>
      <c r="H158" s="33" t="s">
        <v>246</v>
      </c>
      <c r="I158" s="40"/>
      <c r="J158" s="33">
        <v>3</v>
      </c>
      <c r="K158" s="33">
        <v>6</v>
      </c>
      <c r="L158" s="33">
        <v>2009</v>
      </c>
      <c r="M158" s="40" t="s">
        <v>56</v>
      </c>
      <c r="N158" s="40">
        <v>13745</v>
      </c>
      <c r="O158" s="42" t="s">
        <v>31</v>
      </c>
      <c r="P158" s="50">
        <v>33247.012000000002</v>
      </c>
      <c r="S158" s="52">
        <v>3</v>
      </c>
      <c r="T158" s="5">
        <v>0</v>
      </c>
      <c r="U158" s="15">
        <v>33246.012000000002</v>
      </c>
      <c r="V158" s="15">
        <v>33246.012000000002</v>
      </c>
      <c r="W158" s="15">
        <f t="shared" si="15"/>
        <v>0</v>
      </c>
      <c r="X158" s="15">
        <f t="shared" si="16"/>
        <v>1</v>
      </c>
      <c r="Y158" s="33" t="s">
        <v>500</v>
      </c>
      <c r="AB158" s="67">
        <f t="shared" si="17"/>
        <v>36</v>
      </c>
    </row>
    <row r="159" spans="1:28" s="33" customFormat="1" x14ac:dyDescent="0.25">
      <c r="B159" s="41" t="s">
        <v>205</v>
      </c>
      <c r="C159" s="33" t="s">
        <v>501</v>
      </c>
      <c r="D159" s="575" t="s">
        <v>471</v>
      </c>
      <c r="E159" s="33" t="s">
        <v>472</v>
      </c>
      <c r="F159" s="33" t="s">
        <v>473</v>
      </c>
      <c r="G159" s="40" t="s">
        <v>502</v>
      </c>
      <c r="H159" s="33" t="s">
        <v>246</v>
      </c>
      <c r="I159" s="40"/>
      <c r="J159" s="33">
        <v>3</v>
      </c>
      <c r="K159" s="33">
        <v>6</v>
      </c>
      <c r="L159" s="33">
        <v>2009</v>
      </c>
      <c r="M159" s="40" t="s">
        <v>56</v>
      </c>
      <c r="N159" s="40">
        <v>13745</v>
      </c>
      <c r="O159" s="42" t="s">
        <v>31</v>
      </c>
      <c r="P159" s="50">
        <v>33247.012000000002</v>
      </c>
      <c r="S159" s="52">
        <v>3</v>
      </c>
      <c r="T159" s="5">
        <v>0</v>
      </c>
      <c r="U159" s="15">
        <v>33246.012000000002</v>
      </c>
      <c r="V159" s="15">
        <v>33246.012000000002</v>
      </c>
      <c r="W159" s="15">
        <f t="shared" si="15"/>
        <v>0</v>
      </c>
      <c r="X159" s="15">
        <f t="shared" si="16"/>
        <v>1</v>
      </c>
      <c r="Y159" s="33" t="s">
        <v>503</v>
      </c>
      <c r="AB159" s="67">
        <f t="shared" si="17"/>
        <v>36</v>
      </c>
    </row>
    <row r="160" spans="1:28" s="33" customFormat="1" x14ac:dyDescent="0.25">
      <c r="B160" s="41" t="s">
        <v>205</v>
      </c>
      <c r="C160" s="33" t="s">
        <v>504</v>
      </c>
      <c r="D160" s="575" t="s">
        <v>471</v>
      </c>
      <c r="E160" s="33" t="s">
        <v>472</v>
      </c>
      <c r="F160" s="33" t="s">
        <v>473</v>
      </c>
      <c r="G160" s="40" t="s">
        <v>505</v>
      </c>
      <c r="H160" s="33" t="s">
        <v>246</v>
      </c>
      <c r="I160" s="40"/>
      <c r="J160" s="33">
        <v>3</v>
      </c>
      <c r="K160" s="33">
        <v>6</v>
      </c>
      <c r="L160" s="33">
        <v>2009</v>
      </c>
      <c r="M160" s="40" t="s">
        <v>56</v>
      </c>
      <c r="N160" s="40">
        <v>13745</v>
      </c>
      <c r="O160" s="42" t="s">
        <v>31</v>
      </c>
      <c r="P160" s="50">
        <v>33247.012000000002</v>
      </c>
      <c r="S160" s="52">
        <v>3</v>
      </c>
      <c r="T160" s="5">
        <v>0</v>
      </c>
      <c r="U160" s="15">
        <v>33246.012000000002</v>
      </c>
      <c r="V160" s="15">
        <v>33246.012000000002</v>
      </c>
      <c r="W160" s="15">
        <f t="shared" si="15"/>
        <v>0</v>
      </c>
      <c r="X160" s="15">
        <f t="shared" si="16"/>
        <v>1</v>
      </c>
      <c r="Y160" s="33" t="s">
        <v>506</v>
      </c>
      <c r="AB160" s="67">
        <f t="shared" si="17"/>
        <v>36</v>
      </c>
    </row>
    <row r="161" spans="1:28" s="33" customFormat="1" x14ac:dyDescent="0.25">
      <c r="B161" s="41"/>
      <c r="D161" s="4" t="s">
        <v>372</v>
      </c>
      <c r="E161" s="4" t="s">
        <v>28</v>
      </c>
      <c r="F161" s="4" t="s">
        <v>373</v>
      </c>
      <c r="G161" s="51" t="s">
        <v>507</v>
      </c>
      <c r="H161" s="40" t="s">
        <v>246</v>
      </c>
      <c r="I161" s="35" t="str">
        <f t="shared" ref="I161:I170" si="18">CONCATENATE(J161,"/",K161,"/",L161,)</f>
        <v>3/6/2009</v>
      </c>
      <c r="J161" s="52">
        <v>3</v>
      </c>
      <c r="K161" s="52">
        <v>6</v>
      </c>
      <c r="L161" s="52">
        <v>2009</v>
      </c>
      <c r="M161" s="576" t="s">
        <v>56</v>
      </c>
      <c r="N161" s="40">
        <v>13745</v>
      </c>
      <c r="O161" s="50" t="s">
        <v>31</v>
      </c>
      <c r="P161" s="50">
        <v>9391.9979999999996</v>
      </c>
      <c r="Q161" s="51"/>
      <c r="R161" s="51"/>
      <c r="S161" s="51">
        <v>3</v>
      </c>
      <c r="T161" s="5">
        <v>0</v>
      </c>
      <c r="U161" s="15">
        <v>9390.9979999999996</v>
      </c>
      <c r="V161" s="15">
        <v>9390.9979999999996</v>
      </c>
      <c r="W161" s="15">
        <f t="shared" si="15"/>
        <v>0</v>
      </c>
      <c r="X161" s="15">
        <f t="shared" si="16"/>
        <v>1</v>
      </c>
      <c r="Y161" s="33" t="s">
        <v>506</v>
      </c>
      <c r="AB161" s="67">
        <f t="shared" si="17"/>
        <v>36</v>
      </c>
    </row>
    <row r="162" spans="1:28" s="33" customFormat="1" x14ac:dyDescent="0.25">
      <c r="B162" s="41"/>
      <c r="D162" s="4" t="s">
        <v>372</v>
      </c>
      <c r="E162" s="4" t="s">
        <v>28</v>
      </c>
      <c r="F162" s="4" t="s">
        <v>373</v>
      </c>
      <c r="G162" s="51" t="s">
        <v>508</v>
      </c>
      <c r="H162" s="40" t="s">
        <v>246</v>
      </c>
      <c r="I162" s="35" t="str">
        <f t="shared" si="18"/>
        <v>3/6/2009</v>
      </c>
      <c r="J162" s="52">
        <v>3</v>
      </c>
      <c r="K162" s="52">
        <v>6</v>
      </c>
      <c r="L162" s="52">
        <v>2009</v>
      </c>
      <c r="M162" s="576" t="s">
        <v>56</v>
      </c>
      <c r="N162" s="40">
        <v>13745</v>
      </c>
      <c r="O162" s="50" t="s">
        <v>31</v>
      </c>
      <c r="P162" s="50">
        <v>9391.9979999999996</v>
      </c>
      <c r="Q162" s="51"/>
      <c r="R162" s="51"/>
      <c r="S162" s="51">
        <v>3</v>
      </c>
      <c r="T162" s="5">
        <v>0</v>
      </c>
      <c r="U162" s="15">
        <v>9390.9979999999996</v>
      </c>
      <c r="V162" s="15">
        <v>9390.9979999999996</v>
      </c>
      <c r="W162" s="15">
        <f t="shared" si="15"/>
        <v>0</v>
      </c>
      <c r="X162" s="15">
        <f t="shared" si="16"/>
        <v>1</v>
      </c>
      <c r="Y162" s="33" t="s">
        <v>506</v>
      </c>
      <c r="AB162" s="67">
        <f t="shared" si="17"/>
        <v>36</v>
      </c>
    </row>
    <row r="163" spans="1:28" s="33" customFormat="1" x14ac:dyDescent="0.25">
      <c r="B163" s="41"/>
      <c r="D163" s="4" t="s">
        <v>372</v>
      </c>
      <c r="E163" s="4" t="s">
        <v>28</v>
      </c>
      <c r="F163" s="4" t="s">
        <v>373</v>
      </c>
      <c r="G163" s="51" t="s">
        <v>509</v>
      </c>
      <c r="H163" s="40" t="s">
        <v>246</v>
      </c>
      <c r="I163" s="35" t="str">
        <f t="shared" si="18"/>
        <v>3/6/2009</v>
      </c>
      <c r="J163" s="52">
        <v>3</v>
      </c>
      <c r="K163" s="52">
        <v>6</v>
      </c>
      <c r="L163" s="52">
        <v>2009</v>
      </c>
      <c r="M163" s="576" t="s">
        <v>56</v>
      </c>
      <c r="N163" s="40">
        <v>13745</v>
      </c>
      <c r="O163" s="50" t="s">
        <v>31</v>
      </c>
      <c r="P163" s="50">
        <v>9391.9979999999996</v>
      </c>
      <c r="Q163" s="51"/>
      <c r="R163" s="51"/>
      <c r="S163" s="51">
        <v>3</v>
      </c>
      <c r="T163" s="5">
        <v>0</v>
      </c>
      <c r="U163" s="15">
        <v>9390.9979999999996</v>
      </c>
      <c r="V163" s="15">
        <v>9390.9979999999996</v>
      </c>
      <c r="W163" s="15">
        <f t="shared" si="15"/>
        <v>0</v>
      </c>
      <c r="X163" s="15">
        <f t="shared" si="16"/>
        <v>1</v>
      </c>
      <c r="Y163" s="33" t="s">
        <v>506</v>
      </c>
      <c r="AB163" s="67">
        <f t="shared" si="17"/>
        <v>36</v>
      </c>
    </row>
    <row r="164" spans="1:28" s="33" customFormat="1" x14ac:dyDescent="0.25">
      <c r="B164" s="41"/>
      <c r="D164" s="4" t="s">
        <v>372</v>
      </c>
      <c r="E164" s="4" t="s">
        <v>28</v>
      </c>
      <c r="F164" s="4" t="s">
        <v>373</v>
      </c>
      <c r="G164" s="51" t="s">
        <v>510</v>
      </c>
      <c r="H164" s="40" t="s">
        <v>246</v>
      </c>
      <c r="I164" s="35" t="str">
        <f t="shared" si="18"/>
        <v>3/6/2009</v>
      </c>
      <c r="J164" s="52">
        <v>3</v>
      </c>
      <c r="K164" s="52">
        <v>6</v>
      </c>
      <c r="L164" s="52">
        <v>2009</v>
      </c>
      <c r="M164" s="576" t="s">
        <v>56</v>
      </c>
      <c r="N164" s="40">
        <v>13745</v>
      </c>
      <c r="O164" s="50" t="s">
        <v>31</v>
      </c>
      <c r="P164" s="50">
        <v>9391.9979999999996</v>
      </c>
      <c r="Q164" s="51"/>
      <c r="R164" s="51"/>
      <c r="S164" s="51">
        <v>3</v>
      </c>
      <c r="T164" s="5">
        <v>0</v>
      </c>
      <c r="U164" s="15">
        <v>9390.9979999999996</v>
      </c>
      <c r="V164" s="15">
        <v>9390.9979999999996</v>
      </c>
      <c r="W164" s="15">
        <f t="shared" si="15"/>
        <v>0</v>
      </c>
      <c r="X164" s="15">
        <f t="shared" si="16"/>
        <v>1</v>
      </c>
      <c r="Y164" s="33" t="s">
        <v>506</v>
      </c>
      <c r="AB164" s="67">
        <f t="shared" si="17"/>
        <v>36</v>
      </c>
    </row>
    <row r="165" spans="1:28" s="33" customFormat="1" x14ac:dyDescent="0.25">
      <c r="B165" s="41"/>
      <c r="D165" s="4" t="s">
        <v>372</v>
      </c>
      <c r="E165" s="4" t="s">
        <v>28</v>
      </c>
      <c r="F165" s="4" t="s">
        <v>373</v>
      </c>
      <c r="G165" s="51" t="s">
        <v>511</v>
      </c>
      <c r="H165" s="40" t="s">
        <v>246</v>
      </c>
      <c r="I165" s="35" t="str">
        <f t="shared" si="18"/>
        <v>3/6/2009</v>
      </c>
      <c r="J165" s="52">
        <v>3</v>
      </c>
      <c r="K165" s="52">
        <v>6</v>
      </c>
      <c r="L165" s="52">
        <v>2009</v>
      </c>
      <c r="M165" s="576" t="s">
        <v>56</v>
      </c>
      <c r="N165" s="40">
        <v>13745</v>
      </c>
      <c r="O165" s="50" t="s">
        <v>31</v>
      </c>
      <c r="P165" s="50">
        <v>9391.9979999999996</v>
      </c>
      <c r="Q165" s="51"/>
      <c r="R165" s="51"/>
      <c r="S165" s="51">
        <v>3</v>
      </c>
      <c r="T165" s="5">
        <v>0</v>
      </c>
      <c r="U165" s="15">
        <v>9390.9979999999996</v>
      </c>
      <c r="V165" s="15">
        <v>9390.9979999999996</v>
      </c>
      <c r="W165" s="15">
        <f t="shared" si="15"/>
        <v>0</v>
      </c>
      <c r="X165" s="15">
        <f t="shared" si="16"/>
        <v>1</v>
      </c>
      <c r="Y165" s="33" t="s">
        <v>506</v>
      </c>
      <c r="AB165" s="67">
        <f t="shared" si="17"/>
        <v>36</v>
      </c>
    </row>
    <row r="166" spans="1:28" s="33" customFormat="1" x14ac:dyDescent="0.25">
      <c r="B166" s="41"/>
      <c r="D166" s="4" t="s">
        <v>372</v>
      </c>
      <c r="E166" s="4" t="s">
        <v>28</v>
      </c>
      <c r="F166" s="4" t="s">
        <v>373</v>
      </c>
      <c r="G166" s="51" t="s">
        <v>512</v>
      </c>
      <c r="H166" s="40" t="s">
        <v>246</v>
      </c>
      <c r="I166" s="35" t="str">
        <f t="shared" si="18"/>
        <v>3/6/2009</v>
      </c>
      <c r="J166" s="52">
        <v>3</v>
      </c>
      <c r="K166" s="52">
        <v>6</v>
      </c>
      <c r="L166" s="52">
        <v>2009</v>
      </c>
      <c r="M166" s="576" t="s">
        <v>56</v>
      </c>
      <c r="N166" s="40">
        <v>13745</v>
      </c>
      <c r="O166" s="50" t="s">
        <v>31</v>
      </c>
      <c r="P166" s="50">
        <v>9391.9979999999996</v>
      </c>
      <c r="Q166" s="51"/>
      <c r="R166" s="51"/>
      <c r="S166" s="51">
        <v>3</v>
      </c>
      <c r="T166" s="5">
        <v>0</v>
      </c>
      <c r="U166" s="15">
        <v>9390.9979999999996</v>
      </c>
      <c r="V166" s="15">
        <v>9390.9979999999996</v>
      </c>
      <c r="W166" s="15">
        <f t="shared" si="15"/>
        <v>0</v>
      </c>
      <c r="X166" s="15">
        <f t="shared" si="16"/>
        <v>1</v>
      </c>
      <c r="Y166" s="33" t="s">
        <v>506</v>
      </c>
      <c r="AB166" s="67">
        <f t="shared" si="17"/>
        <v>36</v>
      </c>
    </row>
    <row r="167" spans="1:28" s="33" customFormat="1" x14ac:dyDescent="0.25">
      <c r="B167" s="41"/>
      <c r="D167" s="4" t="s">
        <v>372</v>
      </c>
      <c r="E167" s="4" t="s">
        <v>28</v>
      </c>
      <c r="F167" s="4" t="s">
        <v>373</v>
      </c>
      <c r="G167" s="51" t="s">
        <v>513</v>
      </c>
      <c r="H167" s="40" t="s">
        <v>246</v>
      </c>
      <c r="I167" s="35" t="str">
        <f t="shared" si="18"/>
        <v>3/6/2009</v>
      </c>
      <c r="J167" s="52">
        <v>3</v>
      </c>
      <c r="K167" s="52">
        <v>6</v>
      </c>
      <c r="L167" s="52">
        <v>2009</v>
      </c>
      <c r="M167" s="576" t="s">
        <v>56</v>
      </c>
      <c r="N167" s="40">
        <v>13745</v>
      </c>
      <c r="O167" s="50" t="s">
        <v>31</v>
      </c>
      <c r="P167" s="50">
        <v>9391.9979999999996</v>
      </c>
      <c r="Q167" s="51"/>
      <c r="R167" s="51"/>
      <c r="S167" s="51">
        <v>3</v>
      </c>
      <c r="T167" s="5">
        <v>0</v>
      </c>
      <c r="U167" s="15">
        <v>9390.9979999999996</v>
      </c>
      <c r="V167" s="15">
        <v>9390.9979999999996</v>
      </c>
      <c r="W167" s="15">
        <f t="shared" si="15"/>
        <v>0</v>
      </c>
      <c r="X167" s="15">
        <f t="shared" si="16"/>
        <v>1</v>
      </c>
      <c r="Y167" s="33" t="s">
        <v>506</v>
      </c>
      <c r="AB167" s="67">
        <f t="shared" si="17"/>
        <v>36</v>
      </c>
    </row>
    <row r="168" spans="1:28" s="33" customFormat="1" x14ac:dyDescent="0.25">
      <c r="B168" s="41"/>
      <c r="D168" s="4" t="s">
        <v>372</v>
      </c>
      <c r="E168" s="4" t="s">
        <v>28</v>
      </c>
      <c r="F168" s="4" t="s">
        <v>373</v>
      </c>
      <c r="G168" s="51" t="s">
        <v>514</v>
      </c>
      <c r="H168" s="40" t="s">
        <v>246</v>
      </c>
      <c r="I168" s="35" t="str">
        <f t="shared" si="18"/>
        <v>3/6/2009</v>
      </c>
      <c r="J168" s="52">
        <v>3</v>
      </c>
      <c r="K168" s="52">
        <v>6</v>
      </c>
      <c r="L168" s="52">
        <v>2009</v>
      </c>
      <c r="M168" s="576" t="s">
        <v>56</v>
      </c>
      <c r="N168" s="40">
        <v>13745</v>
      </c>
      <c r="O168" s="50" t="s">
        <v>31</v>
      </c>
      <c r="P168" s="50">
        <v>9391.9979999999996</v>
      </c>
      <c r="Q168" s="51"/>
      <c r="R168" s="51"/>
      <c r="S168" s="51">
        <v>3</v>
      </c>
      <c r="T168" s="5">
        <v>0</v>
      </c>
      <c r="U168" s="15">
        <v>9390.9979999999996</v>
      </c>
      <c r="V168" s="15">
        <v>9390.9979999999996</v>
      </c>
      <c r="W168" s="15">
        <f t="shared" si="15"/>
        <v>0</v>
      </c>
      <c r="X168" s="15">
        <f t="shared" si="16"/>
        <v>1</v>
      </c>
      <c r="Y168" s="33" t="s">
        <v>506</v>
      </c>
      <c r="AB168" s="67">
        <f t="shared" si="17"/>
        <v>36</v>
      </c>
    </row>
    <row r="169" spans="1:28" s="33" customFormat="1" x14ac:dyDescent="0.25">
      <c r="B169" s="41"/>
      <c r="D169" s="4" t="s">
        <v>372</v>
      </c>
      <c r="E169" s="4" t="s">
        <v>28</v>
      </c>
      <c r="F169" s="4" t="s">
        <v>373</v>
      </c>
      <c r="G169" s="51" t="s">
        <v>510</v>
      </c>
      <c r="H169" s="40" t="s">
        <v>246</v>
      </c>
      <c r="I169" s="35" t="str">
        <f t="shared" si="18"/>
        <v>3/6/2009</v>
      </c>
      <c r="J169" s="52">
        <v>3</v>
      </c>
      <c r="K169" s="52">
        <v>6</v>
      </c>
      <c r="L169" s="52">
        <v>2009</v>
      </c>
      <c r="M169" s="576" t="s">
        <v>56</v>
      </c>
      <c r="N169" s="40">
        <v>13745</v>
      </c>
      <c r="O169" s="50" t="s">
        <v>31</v>
      </c>
      <c r="P169" s="50">
        <v>9391.9979999999996</v>
      </c>
      <c r="Q169" s="51"/>
      <c r="R169" s="51"/>
      <c r="S169" s="51">
        <v>3</v>
      </c>
      <c r="T169" s="5">
        <v>0</v>
      </c>
      <c r="U169" s="15">
        <v>9390.9979999999996</v>
      </c>
      <c r="V169" s="15">
        <v>9390.9979999999996</v>
      </c>
      <c r="W169" s="15">
        <f t="shared" si="15"/>
        <v>0</v>
      </c>
      <c r="X169" s="15">
        <f t="shared" si="16"/>
        <v>1</v>
      </c>
      <c r="Y169" s="33" t="s">
        <v>506</v>
      </c>
      <c r="AB169" s="67">
        <f t="shared" si="17"/>
        <v>36</v>
      </c>
    </row>
    <row r="170" spans="1:28" s="33" customFormat="1" x14ac:dyDescent="0.25">
      <c r="B170" s="41"/>
      <c r="D170" s="4" t="s">
        <v>372</v>
      </c>
      <c r="E170" s="4" t="s">
        <v>28</v>
      </c>
      <c r="F170" s="4" t="s">
        <v>373</v>
      </c>
      <c r="G170" s="51"/>
      <c r="H170" s="40" t="s">
        <v>246</v>
      </c>
      <c r="I170" s="35" t="str">
        <f t="shared" si="18"/>
        <v>3/6/2009</v>
      </c>
      <c r="J170" s="52">
        <v>3</v>
      </c>
      <c r="K170" s="52">
        <v>6</v>
      </c>
      <c r="L170" s="52">
        <v>2009</v>
      </c>
      <c r="M170" s="576" t="s">
        <v>56</v>
      </c>
      <c r="N170" s="40">
        <v>13745</v>
      </c>
      <c r="O170" s="50" t="s">
        <v>31</v>
      </c>
      <c r="P170" s="50">
        <v>9391.9979999999996</v>
      </c>
      <c r="Q170" s="51"/>
      <c r="R170" s="51"/>
      <c r="S170" s="51">
        <v>3</v>
      </c>
      <c r="T170" s="5">
        <v>0</v>
      </c>
      <c r="U170" s="15">
        <v>9390.9979999999996</v>
      </c>
      <c r="V170" s="15">
        <v>9390.9979999999996</v>
      </c>
      <c r="W170" s="15">
        <f t="shared" si="15"/>
        <v>0</v>
      </c>
      <c r="X170" s="15">
        <f t="shared" si="16"/>
        <v>1</v>
      </c>
      <c r="Y170" s="33" t="s">
        <v>506</v>
      </c>
      <c r="AB170" s="67">
        <f t="shared" si="17"/>
        <v>36</v>
      </c>
    </row>
    <row r="171" spans="1:28" s="33" customFormat="1" x14ac:dyDescent="0.25">
      <c r="B171" s="48" t="s">
        <v>515</v>
      </c>
      <c r="C171" s="33" t="s">
        <v>396</v>
      </c>
      <c r="D171" s="575" t="s">
        <v>516</v>
      </c>
      <c r="E171" s="33" t="s">
        <v>517</v>
      </c>
      <c r="F171" s="33" t="s">
        <v>518</v>
      </c>
      <c r="G171" s="40" t="s">
        <v>519</v>
      </c>
      <c r="H171" s="33" t="s">
        <v>246</v>
      </c>
      <c r="I171" s="40"/>
      <c r="J171" s="33">
        <v>3</v>
      </c>
      <c r="K171" s="33">
        <v>6</v>
      </c>
      <c r="L171" s="33">
        <v>2009</v>
      </c>
      <c r="M171" s="40" t="s">
        <v>56</v>
      </c>
      <c r="N171" s="40">
        <v>13745</v>
      </c>
      <c r="O171" s="42" t="s">
        <v>31</v>
      </c>
      <c r="P171" s="47">
        <v>85294.88</v>
      </c>
      <c r="S171" s="52">
        <v>3</v>
      </c>
      <c r="T171" s="5">
        <v>0</v>
      </c>
      <c r="U171" s="15">
        <v>85293.88</v>
      </c>
      <c r="V171" s="15">
        <v>85293.88</v>
      </c>
      <c r="W171" s="15">
        <f t="shared" si="15"/>
        <v>0</v>
      </c>
      <c r="X171" s="15">
        <f t="shared" si="16"/>
        <v>1</v>
      </c>
      <c r="Y171" s="33" t="s">
        <v>520</v>
      </c>
      <c r="AB171" s="67">
        <f t="shared" si="17"/>
        <v>36</v>
      </c>
    </row>
    <row r="172" spans="1:28" s="33" customFormat="1" x14ac:dyDescent="0.25">
      <c r="B172" s="41" t="s">
        <v>205</v>
      </c>
      <c r="C172" s="33" t="s">
        <v>521</v>
      </c>
      <c r="D172" s="575" t="s">
        <v>516</v>
      </c>
      <c r="E172" s="33" t="s">
        <v>517</v>
      </c>
      <c r="F172" s="33" t="s">
        <v>518</v>
      </c>
      <c r="G172" s="40" t="s">
        <v>522</v>
      </c>
      <c r="H172" s="33" t="s">
        <v>246</v>
      </c>
      <c r="I172" s="40"/>
      <c r="J172" s="33">
        <v>3</v>
      </c>
      <c r="K172" s="33">
        <v>6</v>
      </c>
      <c r="L172" s="33">
        <v>2009</v>
      </c>
      <c r="M172" s="40" t="s">
        <v>56</v>
      </c>
      <c r="N172" s="40">
        <v>13745</v>
      </c>
      <c r="O172" s="42" t="s">
        <v>31</v>
      </c>
      <c r="P172" s="47">
        <v>85294.88</v>
      </c>
      <c r="S172" s="52">
        <v>3</v>
      </c>
      <c r="T172" s="5">
        <v>0</v>
      </c>
      <c r="U172" s="15">
        <v>85293.88</v>
      </c>
      <c r="V172" s="15">
        <v>85293.88</v>
      </c>
      <c r="W172" s="15">
        <f t="shared" si="15"/>
        <v>0</v>
      </c>
      <c r="X172" s="15">
        <f t="shared" si="16"/>
        <v>1</v>
      </c>
      <c r="Y172" s="33" t="s">
        <v>523</v>
      </c>
      <c r="AB172" s="67">
        <f t="shared" si="17"/>
        <v>36</v>
      </c>
    </row>
    <row r="173" spans="1:28" s="33" customFormat="1" x14ac:dyDescent="0.25">
      <c r="B173" s="41" t="s">
        <v>205</v>
      </c>
      <c r="C173" s="33" t="s">
        <v>524</v>
      </c>
      <c r="D173" s="575" t="s">
        <v>516</v>
      </c>
      <c r="E173" s="33" t="s">
        <v>517</v>
      </c>
      <c r="F173" s="33" t="s">
        <v>518</v>
      </c>
      <c r="G173" s="40" t="s">
        <v>525</v>
      </c>
      <c r="H173" s="33" t="s">
        <v>246</v>
      </c>
      <c r="I173" s="40"/>
      <c r="J173" s="33">
        <v>3</v>
      </c>
      <c r="K173" s="33">
        <v>6</v>
      </c>
      <c r="L173" s="33">
        <v>2009</v>
      </c>
      <c r="M173" s="40" t="s">
        <v>56</v>
      </c>
      <c r="N173" s="40">
        <v>13745</v>
      </c>
      <c r="O173" s="42" t="s">
        <v>31</v>
      </c>
      <c r="P173" s="47">
        <v>85294.88</v>
      </c>
      <c r="S173" s="52">
        <v>3</v>
      </c>
      <c r="T173" s="5">
        <v>0</v>
      </c>
      <c r="U173" s="15">
        <v>85293.88</v>
      </c>
      <c r="V173" s="15">
        <v>85293.88</v>
      </c>
      <c r="W173" s="15">
        <f t="shared" si="15"/>
        <v>0</v>
      </c>
      <c r="X173" s="15">
        <f t="shared" si="16"/>
        <v>1</v>
      </c>
      <c r="Y173" s="33" t="s">
        <v>526</v>
      </c>
      <c r="AB173" s="67">
        <f t="shared" si="17"/>
        <v>36</v>
      </c>
    </row>
    <row r="174" spans="1:28" s="33" customFormat="1" ht="31.5" x14ac:dyDescent="0.25">
      <c r="B174" s="46" t="s">
        <v>205</v>
      </c>
      <c r="C174" s="577" t="s">
        <v>65</v>
      </c>
      <c r="D174" s="62" t="s">
        <v>527</v>
      </c>
      <c r="E174" s="40"/>
      <c r="F174" s="62" t="s">
        <v>528</v>
      </c>
      <c r="G174" s="40" t="s">
        <v>529</v>
      </c>
      <c r="H174" s="40" t="s">
        <v>530</v>
      </c>
      <c r="I174" s="40"/>
      <c r="J174" s="63">
        <v>8</v>
      </c>
      <c r="K174" s="63">
        <v>12</v>
      </c>
      <c r="L174" s="64">
        <v>2009</v>
      </c>
      <c r="M174" s="40" t="s">
        <v>420</v>
      </c>
      <c r="N174" s="40">
        <v>519</v>
      </c>
      <c r="O174" s="65" t="s">
        <v>31</v>
      </c>
      <c r="P174" s="578">
        <v>248686.15</v>
      </c>
      <c r="S174" s="52">
        <v>3</v>
      </c>
      <c r="T174" s="5">
        <v>0</v>
      </c>
      <c r="U174" s="15">
        <v>248685.15000000002</v>
      </c>
      <c r="V174" s="15">
        <v>248685.15000000002</v>
      </c>
      <c r="W174" s="15">
        <f t="shared" si="15"/>
        <v>0</v>
      </c>
      <c r="X174" s="15">
        <f t="shared" si="16"/>
        <v>1</v>
      </c>
      <c r="Y174" s="33">
        <v>13475</v>
      </c>
      <c r="AB174" s="67">
        <f t="shared" si="17"/>
        <v>36</v>
      </c>
    </row>
    <row r="175" spans="1:28" s="55" customFormat="1" x14ac:dyDescent="0.25">
      <c r="A175" s="22" t="s">
        <v>531</v>
      </c>
      <c r="B175" s="54"/>
      <c r="D175" s="56"/>
      <c r="E175" s="57"/>
      <c r="F175" s="57"/>
      <c r="G175" s="57"/>
      <c r="H175" s="57"/>
      <c r="I175" s="57"/>
      <c r="J175" s="58"/>
      <c r="K175" s="58"/>
      <c r="L175" s="59"/>
      <c r="M175" s="57"/>
      <c r="N175" s="57"/>
      <c r="O175" s="60"/>
      <c r="P175" s="26">
        <f>SUM(P136:P174)</f>
        <v>1682732.4699999988</v>
      </c>
      <c r="Q175" s="28">
        <f>SUM(Q136:Q174)</f>
        <v>0</v>
      </c>
      <c r="R175" s="28"/>
      <c r="S175" s="28"/>
      <c r="T175" s="26">
        <f t="shared" ref="T175:Y175" si="19">SUM(T136:T174)</f>
        <v>0</v>
      </c>
      <c r="U175" s="26">
        <v>1682693.4699999988</v>
      </c>
      <c r="V175" s="26">
        <f t="shared" si="19"/>
        <v>1682693.4699999988</v>
      </c>
      <c r="W175" s="26">
        <f t="shared" si="19"/>
        <v>0</v>
      </c>
      <c r="X175" s="26">
        <f t="shared" si="19"/>
        <v>39</v>
      </c>
      <c r="Y175" s="26">
        <f t="shared" si="19"/>
        <v>211618</v>
      </c>
      <c r="AB175" s="61"/>
    </row>
    <row r="176" spans="1:28" s="33" customFormat="1" x14ac:dyDescent="0.25">
      <c r="A176" s="4"/>
      <c r="B176" s="41"/>
      <c r="D176" s="62"/>
      <c r="E176" s="40"/>
      <c r="F176" s="40"/>
      <c r="G176" s="40"/>
      <c r="H176" s="40"/>
      <c r="I176" s="40"/>
      <c r="J176" s="63"/>
      <c r="K176" s="63"/>
      <c r="L176" s="64"/>
      <c r="M176" s="40"/>
      <c r="N176" s="40"/>
      <c r="O176" s="65"/>
      <c r="P176" s="30"/>
      <c r="S176" s="52"/>
      <c r="T176" s="30"/>
      <c r="U176" s="30"/>
      <c r="V176" s="66"/>
      <c r="W176" s="66"/>
      <c r="X176" s="66"/>
      <c r="AB176" s="67"/>
    </row>
    <row r="177" spans="1:28" s="55" customFormat="1" x14ac:dyDescent="0.25">
      <c r="A177" s="22" t="s">
        <v>532</v>
      </c>
      <c r="B177" s="54"/>
      <c r="D177" s="56"/>
      <c r="E177" s="57"/>
      <c r="F177" s="57"/>
      <c r="G177" s="57"/>
      <c r="H177" s="57"/>
      <c r="I177" s="57"/>
      <c r="J177" s="58"/>
      <c r="K177" s="58"/>
      <c r="L177" s="59"/>
      <c r="M177" s="57"/>
      <c r="N177" s="57"/>
      <c r="O177" s="60"/>
      <c r="P177" s="29">
        <f>+P133+P175</f>
        <v>7235573.3099999996</v>
      </c>
      <c r="Q177" s="28">
        <f>+Q133+Q175</f>
        <v>0</v>
      </c>
      <c r="R177" s="28"/>
      <c r="S177" s="28"/>
      <c r="T177" s="29">
        <f>+T133+T175</f>
        <v>0</v>
      </c>
      <c r="U177" s="29">
        <v>7251740.4488888886</v>
      </c>
      <c r="V177" s="29">
        <f>+V133+V175</f>
        <v>7251740.4488888886</v>
      </c>
      <c r="W177" s="29">
        <f>+W133+W175</f>
        <v>0</v>
      </c>
      <c r="X177" s="29">
        <f>+X133+X175</f>
        <v>152</v>
      </c>
      <c r="AB177" s="61"/>
    </row>
    <row r="178" spans="1:28" s="33" customFormat="1" x14ac:dyDescent="0.25">
      <c r="B178" s="41"/>
      <c r="D178" s="62"/>
      <c r="E178" s="40"/>
      <c r="F178" s="40"/>
      <c r="G178" s="40"/>
      <c r="H178" s="40"/>
      <c r="I178" s="40"/>
      <c r="J178" s="63"/>
      <c r="K178" s="63"/>
      <c r="L178" s="64"/>
      <c r="M178" s="40"/>
      <c r="N178" s="40"/>
      <c r="O178" s="65"/>
      <c r="P178" s="30"/>
      <c r="S178" s="52"/>
      <c r="T178" s="30"/>
      <c r="U178" s="30"/>
      <c r="V178" s="66"/>
      <c r="W178" s="66"/>
      <c r="X178" s="66"/>
      <c r="AB178" s="67"/>
    </row>
    <row r="179" spans="1:28" s="33" customFormat="1" x14ac:dyDescent="0.25">
      <c r="A179" s="68"/>
      <c r="B179" s="69" t="s">
        <v>205</v>
      </c>
      <c r="C179" s="68" t="s">
        <v>533</v>
      </c>
      <c r="D179" s="40" t="s">
        <v>534</v>
      </c>
      <c r="E179" s="40" t="s">
        <v>535</v>
      </c>
      <c r="F179" s="40"/>
      <c r="G179" s="40" t="s">
        <v>536</v>
      </c>
      <c r="H179" s="40" t="s">
        <v>537</v>
      </c>
      <c r="I179" s="40"/>
      <c r="J179" s="63">
        <v>19</v>
      </c>
      <c r="K179" s="63">
        <v>5</v>
      </c>
      <c r="L179" s="64">
        <v>2010</v>
      </c>
      <c r="M179" s="40" t="s">
        <v>538</v>
      </c>
      <c r="N179" s="40">
        <v>16096</v>
      </c>
      <c r="O179" s="65" t="s">
        <v>31</v>
      </c>
      <c r="P179" s="50">
        <v>5045</v>
      </c>
      <c r="S179" s="52">
        <v>3</v>
      </c>
      <c r="T179" s="5">
        <v>0</v>
      </c>
      <c r="U179" s="15">
        <v>5044</v>
      </c>
      <c r="V179" s="15">
        <v>5044</v>
      </c>
      <c r="W179" s="15">
        <f t="shared" ref="W179:W210" si="20">V179-U179</f>
        <v>0</v>
      </c>
      <c r="X179" s="15">
        <f t="shared" ref="X179:X210" si="21">P179-V179</f>
        <v>1</v>
      </c>
      <c r="Y179" s="66"/>
      <c r="AB179" s="67">
        <f t="shared" ref="AB179:AB228" si="22">IF((DATEDIF(I179,AB$4,"m"))&gt;=36,36,(DATEDIF(I179,AB$4,"m")))</f>
        <v>36</v>
      </c>
    </row>
    <row r="180" spans="1:28" s="51" customFormat="1" x14ac:dyDescent="0.25">
      <c r="A180" s="68"/>
      <c r="B180" s="69" t="s">
        <v>205</v>
      </c>
      <c r="C180" s="68" t="s">
        <v>65</v>
      </c>
      <c r="D180" s="40" t="s">
        <v>539</v>
      </c>
      <c r="E180" s="40" t="s">
        <v>540</v>
      </c>
      <c r="F180" s="40" t="s">
        <v>541</v>
      </c>
      <c r="G180" s="40" t="s">
        <v>542</v>
      </c>
      <c r="H180" s="40" t="s">
        <v>543</v>
      </c>
      <c r="I180" s="35" t="str">
        <f t="shared" ref="I180:I201" si="23">CONCATENATE(J180,"/",K180,"/",L180,)</f>
        <v>23/3/2010</v>
      </c>
      <c r="J180" s="63">
        <v>23</v>
      </c>
      <c r="K180" s="63">
        <v>3</v>
      </c>
      <c r="L180" s="64">
        <v>2010</v>
      </c>
      <c r="M180" s="576" t="s">
        <v>56</v>
      </c>
      <c r="N180" s="40" t="s">
        <v>544</v>
      </c>
      <c r="O180" s="40" t="s">
        <v>31</v>
      </c>
      <c r="P180" s="50">
        <v>158405.29999999999</v>
      </c>
      <c r="S180" s="51">
        <v>3</v>
      </c>
      <c r="T180" s="5">
        <v>0</v>
      </c>
      <c r="U180" s="15">
        <v>158404.29999999996</v>
      </c>
      <c r="V180" s="15">
        <v>158404.29999999996</v>
      </c>
      <c r="W180" s="15">
        <f t="shared" si="20"/>
        <v>0</v>
      </c>
      <c r="X180" s="15">
        <f t="shared" si="21"/>
        <v>1.0000000000291038</v>
      </c>
      <c r="Y180" s="66"/>
      <c r="AB180" s="67">
        <f t="shared" si="22"/>
        <v>36</v>
      </c>
    </row>
    <row r="181" spans="1:28" s="51" customFormat="1" x14ac:dyDescent="0.25">
      <c r="A181" s="68"/>
      <c r="B181" s="69" t="s">
        <v>205</v>
      </c>
      <c r="C181" s="68" t="s">
        <v>65</v>
      </c>
      <c r="D181" s="40" t="s">
        <v>539</v>
      </c>
      <c r="E181" s="40" t="s">
        <v>540</v>
      </c>
      <c r="F181" s="40" t="s">
        <v>541</v>
      </c>
      <c r="G181" s="40" t="s">
        <v>545</v>
      </c>
      <c r="H181" s="40" t="s">
        <v>543</v>
      </c>
      <c r="I181" s="35" t="str">
        <f t="shared" si="23"/>
        <v>23/3/2010</v>
      </c>
      <c r="J181" s="63">
        <v>23</v>
      </c>
      <c r="K181" s="63">
        <v>3</v>
      </c>
      <c r="L181" s="64">
        <v>2010</v>
      </c>
      <c r="M181" s="576" t="s">
        <v>56</v>
      </c>
      <c r="N181" s="40" t="s">
        <v>544</v>
      </c>
      <c r="O181" s="40" t="s">
        <v>31</v>
      </c>
      <c r="P181" s="50">
        <v>158405.29999999999</v>
      </c>
      <c r="R181" s="66"/>
      <c r="S181" s="51">
        <v>3</v>
      </c>
      <c r="T181" s="5">
        <v>0</v>
      </c>
      <c r="U181" s="15">
        <v>158404.29999999996</v>
      </c>
      <c r="V181" s="15">
        <v>158404.29999999996</v>
      </c>
      <c r="W181" s="15">
        <f t="shared" si="20"/>
        <v>0</v>
      </c>
      <c r="X181" s="15">
        <f t="shared" si="21"/>
        <v>1.0000000000291038</v>
      </c>
      <c r="Y181" s="66"/>
      <c r="AB181" s="67">
        <f t="shared" si="22"/>
        <v>36</v>
      </c>
    </row>
    <row r="182" spans="1:28" s="51" customFormat="1" x14ac:dyDescent="0.25">
      <c r="A182" s="68"/>
      <c r="B182" s="69" t="s">
        <v>205</v>
      </c>
      <c r="C182" s="68" t="s">
        <v>65</v>
      </c>
      <c r="D182" s="40" t="s">
        <v>539</v>
      </c>
      <c r="E182" s="40" t="s">
        <v>540</v>
      </c>
      <c r="F182" s="40" t="s">
        <v>541</v>
      </c>
      <c r="G182" s="40" t="s">
        <v>546</v>
      </c>
      <c r="H182" s="40" t="s">
        <v>543</v>
      </c>
      <c r="I182" s="35" t="str">
        <f t="shared" si="23"/>
        <v>23/3/2010</v>
      </c>
      <c r="J182" s="63">
        <v>23</v>
      </c>
      <c r="K182" s="63">
        <v>3</v>
      </c>
      <c r="L182" s="64">
        <v>2010</v>
      </c>
      <c r="M182" s="576" t="s">
        <v>56</v>
      </c>
      <c r="N182" s="40" t="s">
        <v>544</v>
      </c>
      <c r="O182" s="40" t="s">
        <v>31</v>
      </c>
      <c r="P182" s="50">
        <v>158405.29999999999</v>
      </c>
      <c r="S182" s="51">
        <v>3</v>
      </c>
      <c r="T182" s="5">
        <v>0</v>
      </c>
      <c r="U182" s="15">
        <v>158404.29999999996</v>
      </c>
      <c r="V182" s="15">
        <v>158404.29999999996</v>
      </c>
      <c r="W182" s="15">
        <f t="shared" si="20"/>
        <v>0</v>
      </c>
      <c r="X182" s="15">
        <f t="shared" si="21"/>
        <v>1.0000000000291038</v>
      </c>
      <c r="Y182" s="66"/>
      <c r="AB182" s="67">
        <f t="shared" si="22"/>
        <v>36</v>
      </c>
    </row>
    <row r="183" spans="1:28" s="51" customFormat="1" x14ac:dyDescent="0.25">
      <c r="A183" s="68"/>
      <c r="B183" s="69" t="s">
        <v>205</v>
      </c>
      <c r="C183" s="68" t="s">
        <v>65</v>
      </c>
      <c r="D183" s="40" t="s">
        <v>539</v>
      </c>
      <c r="E183" s="40" t="s">
        <v>540</v>
      </c>
      <c r="F183" s="40" t="s">
        <v>541</v>
      </c>
      <c r="G183" s="40" t="s">
        <v>547</v>
      </c>
      <c r="H183" s="40" t="s">
        <v>543</v>
      </c>
      <c r="I183" s="35" t="str">
        <f t="shared" si="23"/>
        <v>23/3/2010</v>
      </c>
      <c r="J183" s="63">
        <v>23</v>
      </c>
      <c r="K183" s="63">
        <v>3</v>
      </c>
      <c r="L183" s="64">
        <v>2010</v>
      </c>
      <c r="M183" s="576" t="s">
        <v>56</v>
      </c>
      <c r="N183" s="40" t="s">
        <v>544</v>
      </c>
      <c r="O183" s="40" t="s">
        <v>31</v>
      </c>
      <c r="P183" s="50">
        <v>158405.29999999999</v>
      </c>
      <c r="S183" s="51">
        <v>3</v>
      </c>
      <c r="T183" s="5">
        <v>0</v>
      </c>
      <c r="U183" s="15">
        <v>158404.29999999996</v>
      </c>
      <c r="V183" s="15">
        <v>158404.29999999996</v>
      </c>
      <c r="W183" s="15">
        <f t="shared" si="20"/>
        <v>0</v>
      </c>
      <c r="X183" s="15">
        <f t="shared" si="21"/>
        <v>1.0000000000291038</v>
      </c>
      <c r="Y183" s="66"/>
      <c r="AB183" s="67">
        <f t="shared" si="22"/>
        <v>36</v>
      </c>
    </row>
    <row r="184" spans="1:28" s="51" customFormat="1" x14ac:dyDescent="0.25">
      <c r="A184" s="68"/>
      <c r="B184" s="69" t="s">
        <v>205</v>
      </c>
      <c r="C184" s="68" t="s">
        <v>65</v>
      </c>
      <c r="D184" s="40" t="s">
        <v>539</v>
      </c>
      <c r="E184" s="40" t="s">
        <v>540</v>
      </c>
      <c r="F184" s="40" t="s">
        <v>541</v>
      </c>
      <c r="G184" s="40" t="s">
        <v>548</v>
      </c>
      <c r="H184" s="40" t="s">
        <v>543</v>
      </c>
      <c r="I184" s="35" t="str">
        <f t="shared" si="23"/>
        <v>23/3/2010</v>
      </c>
      <c r="J184" s="63">
        <v>23</v>
      </c>
      <c r="K184" s="63">
        <v>3</v>
      </c>
      <c r="L184" s="64">
        <v>2010</v>
      </c>
      <c r="M184" s="576" t="s">
        <v>56</v>
      </c>
      <c r="N184" s="40" t="s">
        <v>544</v>
      </c>
      <c r="O184" s="40" t="s">
        <v>31</v>
      </c>
      <c r="P184" s="50">
        <v>158405.29999999999</v>
      </c>
      <c r="S184" s="51">
        <v>3</v>
      </c>
      <c r="T184" s="5">
        <v>0</v>
      </c>
      <c r="U184" s="15">
        <v>158404.29999999996</v>
      </c>
      <c r="V184" s="15">
        <v>158404.29999999996</v>
      </c>
      <c r="W184" s="15">
        <f t="shared" si="20"/>
        <v>0</v>
      </c>
      <c r="X184" s="15">
        <f t="shared" si="21"/>
        <v>1.0000000000291038</v>
      </c>
      <c r="Y184" s="66"/>
      <c r="AB184" s="67">
        <f t="shared" si="22"/>
        <v>36</v>
      </c>
    </row>
    <row r="185" spans="1:28" s="51" customFormat="1" x14ac:dyDescent="0.25">
      <c r="A185" s="68"/>
      <c r="B185" s="69"/>
      <c r="C185" s="68"/>
      <c r="D185" s="40" t="s">
        <v>539</v>
      </c>
      <c r="E185" s="40" t="s">
        <v>540</v>
      </c>
      <c r="F185" s="40" t="s">
        <v>541</v>
      </c>
      <c r="H185" s="40" t="s">
        <v>543</v>
      </c>
      <c r="I185" s="35" t="str">
        <f t="shared" si="23"/>
        <v>23/3/2010</v>
      </c>
      <c r="J185" s="63">
        <v>23</v>
      </c>
      <c r="K185" s="63">
        <v>3</v>
      </c>
      <c r="L185" s="64">
        <v>2010</v>
      </c>
      <c r="M185" s="576" t="s">
        <v>56</v>
      </c>
      <c r="N185" s="40" t="s">
        <v>549</v>
      </c>
      <c r="O185" s="40" t="s">
        <v>31</v>
      </c>
      <c r="P185" s="50">
        <v>14155.97</v>
      </c>
      <c r="R185" s="66"/>
      <c r="S185" s="51">
        <v>3</v>
      </c>
      <c r="T185" s="5">
        <v>0</v>
      </c>
      <c r="U185" s="15">
        <v>14154.969999999998</v>
      </c>
      <c r="V185" s="15">
        <v>14154.969999999998</v>
      </c>
      <c r="W185" s="15">
        <f t="shared" si="20"/>
        <v>0</v>
      </c>
      <c r="X185" s="15">
        <f t="shared" si="21"/>
        <v>1.000000000001819</v>
      </c>
      <c r="Y185" s="66"/>
      <c r="AB185" s="67">
        <f t="shared" si="22"/>
        <v>36</v>
      </c>
    </row>
    <row r="186" spans="1:28" s="51" customFormat="1" x14ac:dyDescent="0.25">
      <c r="A186" s="68"/>
      <c r="B186" s="69"/>
      <c r="C186" s="68"/>
      <c r="D186" s="40" t="s">
        <v>539</v>
      </c>
      <c r="E186" s="40" t="s">
        <v>540</v>
      </c>
      <c r="F186" s="40" t="s">
        <v>541</v>
      </c>
      <c r="H186" s="40" t="s">
        <v>543</v>
      </c>
      <c r="I186" s="35" t="str">
        <f t="shared" si="23"/>
        <v>23/3/2010</v>
      </c>
      <c r="J186" s="63">
        <v>23</v>
      </c>
      <c r="K186" s="63">
        <v>3</v>
      </c>
      <c r="L186" s="64">
        <v>2010</v>
      </c>
      <c r="M186" s="576" t="s">
        <v>56</v>
      </c>
      <c r="N186" s="40" t="s">
        <v>549</v>
      </c>
      <c r="O186" s="40" t="s">
        <v>31</v>
      </c>
      <c r="P186" s="50">
        <v>14155.97</v>
      </c>
      <c r="S186" s="51">
        <v>3</v>
      </c>
      <c r="T186" s="5">
        <v>0</v>
      </c>
      <c r="U186" s="15">
        <v>14154.969999999998</v>
      </c>
      <c r="V186" s="15">
        <v>14154.969999999998</v>
      </c>
      <c r="W186" s="15">
        <f t="shared" si="20"/>
        <v>0</v>
      </c>
      <c r="X186" s="15">
        <f t="shared" si="21"/>
        <v>1.000000000001819</v>
      </c>
      <c r="Y186" s="66"/>
      <c r="AB186" s="67">
        <f t="shared" si="22"/>
        <v>36</v>
      </c>
    </row>
    <row r="187" spans="1:28" s="51" customFormat="1" x14ac:dyDescent="0.25">
      <c r="A187" s="68"/>
      <c r="B187" s="69"/>
      <c r="C187" s="68"/>
      <c r="D187" s="40" t="s">
        <v>539</v>
      </c>
      <c r="E187" s="40" t="s">
        <v>540</v>
      </c>
      <c r="F187" s="40" t="s">
        <v>541</v>
      </c>
      <c r="H187" s="40" t="s">
        <v>543</v>
      </c>
      <c r="I187" s="35" t="str">
        <f t="shared" si="23"/>
        <v>23/3/2010</v>
      </c>
      <c r="J187" s="63">
        <v>23</v>
      </c>
      <c r="K187" s="63">
        <v>3</v>
      </c>
      <c r="L187" s="64">
        <v>2010</v>
      </c>
      <c r="M187" s="576" t="s">
        <v>56</v>
      </c>
      <c r="N187" s="40" t="s">
        <v>549</v>
      </c>
      <c r="O187" s="40" t="s">
        <v>31</v>
      </c>
      <c r="P187" s="50">
        <v>14155.97</v>
      </c>
      <c r="S187" s="51">
        <v>3</v>
      </c>
      <c r="T187" s="5">
        <v>0</v>
      </c>
      <c r="U187" s="15">
        <v>14154.969999999998</v>
      </c>
      <c r="V187" s="15">
        <v>14154.969999999998</v>
      </c>
      <c r="W187" s="15">
        <f t="shared" si="20"/>
        <v>0</v>
      </c>
      <c r="X187" s="15">
        <f t="shared" si="21"/>
        <v>1.000000000001819</v>
      </c>
      <c r="Y187" s="66"/>
      <c r="AB187" s="67">
        <f t="shared" si="22"/>
        <v>36</v>
      </c>
    </row>
    <row r="188" spans="1:28" s="51" customFormat="1" x14ac:dyDescent="0.25">
      <c r="A188" s="68"/>
      <c r="B188" s="69"/>
      <c r="C188" s="68"/>
      <c r="D188" s="40" t="s">
        <v>539</v>
      </c>
      <c r="E188" s="40" t="s">
        <v>540</v>
      </c>
      <c r="F188" s="40" t="s">
        <v>541</v>
      </c>
      <c r="H188" s="40" t="s">
        <v>543</v>
      </c>
      <c r="I188" s="35" t="str">
        <f t="shared" si="23"/>
        <v>23/3/2010</v>
      </c>
      <c r="J188" s="63">
        <v>23</v>
      </c>
      <c r="K188" s="63">
        <v>3</v>
      </c>
      <c r="L188" s="64">
        <v>2010</v>
      </c>
      <c r="M188" s="576" t="s">
        <v>56</v>
      </c>
      <c r="N188" s="40" t="s">
        <v>549</v>
      </c>
      <c r="O188" s="40" t="s">
        <v>31</v>
      </c>
      <c r="P188" s="50">
        <v>14155.97</v>
      </c>
      <c r="S188" s="51">
        <v>3</v>
      </c>
      <c r="T188" s="5">
        <v>0</v>
      </c>
      <c r="U188" s="15">
        <v>14154.969999999998</v>
      </c>
      <c r="V188" s="15">
        <v>14154.969999999998</v>
      </c>
      <c r="W188" s="15">
        <f t="shared" si="20"/>
        <v>0</v>
      </c>
      <c r="X188" s="15">
        <f t="shared" si="21"/>
        <v>1.000000000001819</v>
      </c>
      <c r="Y188" s="66"/>
      <c r="AB188" s="67">
        <f t="shared" si="22"/>
        <v>36</v>
      </c>
    </row>
    <row r="189" spans="1:28" s="51" customFormat="1" x14ac:dyDescent="0.25">
      <c r="A189" s="68"/>
      <c r="B189" s="69"/>
      <c r="C189" s="68"/>
      <c r="D189" s="40" t="s">
        <v>539</v>
      </c>
      <c r="E189" s="40" t="s">
        <v>540</v>
      </c>
      <c r="F189" s="40" t="s">
        <v>541</v>
      </c>
      <c r="G189" s="40"/>
      <c r="H189" s="40" t="s">
        <v>543</v>
      </c>
      <c r="I189" s="35" t="str">
        <f t="shared" si="23"/>
        <v>23/3/2010</v>
      </c>
      <c r="J189" s="63">
        <v>23</v>
      </c>
      <c r="K189" s="63">
        <v>3</v>
      </c>
      <c r="L189" s="64">
        <v>2010</v>
      </c>
      <c r="M189" s="576" t="s">
        <v>56</v>
      </c>
      <c r="N189" s="40" t="s">
        <v>549</v>
      </c>
      <c r="O189" s="40" t="s">
        <v>31</v>
      </c>
      <c r="P189" s="50">
        <v>14155.97</v>
      </c>
      <c r="S189" s="51">
        <v>3</v>
      </c>
      <c r="T189" s="5">
        <v>0</v>
      </c>
      <c r="U189" s="15">
        <v>14154.969999999998</v>
      </c>
      <c r="V189" s="15">
        <v>14154.969999999998</v>
      </c>
      <c r="W189" s="15">
        <f t="shared" si="20"/>
        <v>0</v>
      </c>
      <c r="X189" s="15">
        <f t="shared" si="21"/>
        <v>1.000000000001819</v>
      </c>
      <c r="Y189" s="66"/>
      <c r="AB189" s="67">
        <f t="shared" si="22"/>
        <v>36</v>
      </c>
    </row>
    <row r="190" spans="1:28" s="51" customFormat="1" x14ac:dyDescent="0.25">
      <c r="A190" s="68"/>
      <c r="B190" s="69"/>
      <c r="C190" s="68"/>
      <c r="D190" s="40" t="s">
        <v>539</v>
      </c>
      <c r="E190" s="40" t="s">
        <v>540</v>
      </c>
      <c r="F190" s="40" t="s">
        <v>541</v>
      </c>
      <c r="G190" s="40"/>
      <c r="H190" s="40" t="s">
        <v>543</v>
      </c>
      <c r="I190" s="35" t="str">
        <f t="shared" si="23"/>
        <v>23/3/2010</v>
      </c>
      <c r="J190" s="63">
        <v>23</v>
      </c>
      <c r="K190" s="63">
        <v>3</v>
      </c>
      <c r="L190" s="64">
        <v>2010</v>
      </c>
      <c r="M190" s="576" t="s">
        <v>56</v>
      </c>
      <c r="N190" s="40" t="s">
        <v>549</v>
      </c>
      <c r="O190" s="40" t="s">
        <v>31</v>
      </c>
      <c r="P190" s="50">
        <v>14155.97</v>
      </c>
      <c r="S190" s="51">
        <v>3</v>
      </c>
      <c r="T190" s="5">
        <v>0</v>
      </c>
      <c r="U190" s="15">
        <v>14154.969999999998</v>
      </c>
      <c r="V190" s="15">
        <v>14154.969999999998</v>
      </c>
      <c r="W190" s="15">
        <f t="shared" si="20"/>
        <v>0</v>
      </c>
      <c r="X190" s="15">
        <f t="shared" si="21"/>
        <v>1.000000000001819</v>
      </c>
      <c r="Y190" s="66"/>
      <c r="AB190" s="67">
        <f t="shared" si="22"/>
        <v>36</v>
      </c>
    </row>
    <row r="191" spans="1:28" s="51" customFormat="1" x14ac:dyDescent="0.25">
      <c r="A191" s="68"/>
      <c r="B191" s="69"/>
      <c r="C191" s="68"/>
      <c r="D191" s="40" t="s">
        <v>539</v>
      </c>
      <c r="E191" s="40" t="s">
        <v>540</v>
      </c>
      <c r="F191" s="40" t="s">
        <v>541</v>
      </c>
      <c r="G191" s="40"/>
      <c r="H191" s="40" t="s">
        <v>543</v>
      </c>
      <c r="I191" s="35" t="str">
        <f t="shared" si="23"/>
        <v>23/3/2010</v>
      </c>
      <c r="J191" s="63">
        <v>23</v>
      </c>
      <c r="K191" s="63">
        <v>3</v>
      </c>
      <c r="L191" s="64">
        <v>2010</v>
      </c>
      <c r="M191" s="576" t="s">
        <v>56</v>
      </c>
      <c r="N191" s="40" t="s">
        <v>549</v>
      </c>
      <c r="O191" s="40" t="s">
        <v>31</v>
      </c>
      <c r="P191" s="50">
        <v>14155.97</v>
      </c>
      <c r="S191" s="51">
        <v>3</v>
      </c>
      <c r="T191" s="5">
        <v>0</v>
      </c>
      <c r="U191" s="15">
        <v>14154.969999999998</v>
      </c>
      <c r="V191" s="15">
        <v>14154.969999999998</v>
      </c>
      <c r="W191" s="15">
        <f t="shared" si="20"/>
        <v>0</v>
      </c>
      <c r="X191" s="15">
        <f t="shared" si="21"/>
        <v>1.000000000001819</v>
      </c>
      <c r="Y191" s="66"/>
      <c r="AB191" s="67">
        <f t="shared" si="22"/>
        <v>36</v>
      </c>
    </row>
    <row r="192" spans="1:28" s="51" customFormat="1" x14ac:dyDescent="0.25">
      <c r="A192" s="68"/>
      <c r="B192" s="69"/>
      <c r="C192" s="68"/>
      <c r="D192" s="40" t="s">
        <v>539</v>
      </c>
      <c r="E192" s="40" t="s">
        <v>540</v>
      </c>
      <c r="F192" s="40" t="s">
        <v>541</v>
      </c>
      <c r="G192" s="40"/>
      <c r="H192" s="40" t="s">
        <v>543</v>
      </c>
      <c r="I192" s="35" t="str">
        <f t="shared" si="23"/>
        <v>23/3/2010</v>
      </c>
      <c r="J192" s="63">
        <v>23</v>
      </c>
      <c r="K192" s="63">
        <v>3</v>
      </c>
      <c r="L192" s="64">
        <v>2010</v>
      </c>
      <c r="M192" s="576" t="s">
        <v>56</v>
      </c>
      <c r="N192" s="40" t="s">
        <v>549</v>
      </c>
      <c r="O192" s="40" t="s">
        <v>31</v>
      </c>
      <c r="P192" s="50">
        <v>14155.97</v>
      </c>
      <c r="S192" s="51">
        <v>3</v>
      </c>
      <c r="T192" s="5">
        <v>0</v>
      </c>
      <c r="U192" s="15">
        <v>14154.969999999998</v>
      </c>
      <c r="V192" s="15">
        <v>14154.969999999998</v>
      </c>
      <c r="W192" s="15">
        <f t="shared" si="20"/>
        <v>0</v>
      </c>
      <c r="X192" s="15">
        <f t="shared" si="21"/>
        <v>1.000000000001819</v>
      </c>
      <c r="Y192" s="66"/>
      <c r="AB192" s="67">
        <f t="shared" si="22"/>
        <v>36</v>
      </c>
    </row>
    <row r="193" spans="1:28" s="51" customFormat="1" x14ac:dyDescent="0.25">
      <c r="A193" s="68"/>
      <c r="B193" s="69"/>
      <c r="C193" s="68"/>
      <c r="D193" s="40" t="s">
        <v>550</v>
      </c>
      <c r="E193" s="40"/>
      <c r="F193" s="40"/>
      <c r="G193" s="40"/>
      <c r="H193" s="40" t="s">
        <v>543</v>
      </c>
      <c r="I193" s="35" t="str">
        <f t="shared" si="23"/>
        <v>23/3/2010</v>
      </c>
      <c r="J193" s="63">
        <v>23</v>
      </c>
      <c r="K193" s="63">
        <v>3</v>
      </c>
      <c r="L193" s="64">
        <v>2010</v>
      </c>
      <c r="M193" s="576" t="s">
        <v>56</v>
      </c>
      <c r="N193" s="40" t="s">
        <v>549</v>
      </c>
      <c r="O193" s="40" t="s">
        <v>31</v>
      </c>
      <c r="P193" s="50">
        <v>16002.01</v>
      </c>
      <c r="R193" s="66"/>
      <c r="S193" s="51">
        <v>3</v>
      </c>
      <c r="T193" s="5">
        <v>0</v>
      </c>
      <c r="U193" s="15">
        <v>16001.01</v>
      </c>
      <c r="V193" s="15">
        <v>16001.01</v>
      </c>
      <c r="W193" s="15">
        <f t="shared" si="20"/>
        <v>0</v>
      </c>
      <c r="X193" s="15">
        <f t="shared" si="21"/>
        <v>1</v>
      </c>
      <c r="Y193" s="66"/>
      <c r="AB193" s="67">
        <f t="shared" si="22"/>
        <v>36</v>
      </c>
    </row>
    <row r="194" spans="1:28" s="51" customFormat="1" x14ac:dyDescent="0.25">
      <c r="A194" s="68"/>
      <c r="B194" s="69"/>
      <c r="C194" s="68"/>
      <c r="D194" s="40" t="s">
        <v>550</v>
      </c>
      <c r="E194" s="40"/>
      <c r="F194" s="40"/>
      <c r="G194" s="40"/>
      <c r="H194" s="40" t="s">
        <v>543</v>
      </c>
      <c r="I194" s="35" t="str">
        <f t="shared" si="23"/>
        <v>23/3/2010</v>
      </c>
      <c r="J194" s="63">
        <v>23</v>
      </c>
      <c r="K194" s="63">
        <v>3</v>
      </c>
      <c r="L194" s="64">
        <v>2010</v>
      </c>
      <c r="M194" s="576" t="s">
        <v>56</v>
      </c>
      <c r="N194" s="40" t="s">
        <v>549</v>
      </c>
      <c r="O194" s="40" t="s">
        <v>31</v>
      </c>
      <c r="P194" s="50">
        <v>16002.01</v>
      </c>
      <c r="R194" s="66"/>
      <c r="S194" s="51">
        <v>3</v>
      </c>
      <c r="T194" s="5">
        <v>0</v>
      </c>
      <c r="U194" s="15">
        <v>16001.01</v>
      </c>
      <c r="V194" s="15">
        <v>16001.01</v>
      </c>
      <c r="W194" s="15">
        <f t="shared" si="20"/>
        <v>0</v>
      </c>
      <c r="X194" s="15">
        <f t="shared" si="21"/>
        <v>1</v>
      </c>
      <c r="Y194" s="66"/>
      <c r="AB194" s="67">
        <f t="shared" si="22"/>
        <v>36</v>
      </c>
    </row>
    <row r="195" spans="1:28" s="51" customFormat="1" x14ac:dyDescent="0.25">
      <c r="A195" s="68"/>
      <c r="B195" s="69"/>
      <c r="C195" s="68"/>
      <c r="D195" s="40" t="s">
        <v>550</v>
      </c>
      <c r="E195" s="40"/>
      <c r="F195" s="40"/>
      <c r="G195" s="40"/>
      <c r="H195" s="40" t="s">
        <v>543</v>
      </c>
      <c r="I195" s="35" t="str">
        <f t="shared" si="23"/>
        <v>23/3/2010</v>
      </c>
      <c r="J195" s="63">
        <v>23</v>
      </c>
      <c r="K195" s="63">
        <v>3</v>
      </c>
      <c r="L195" s="64">
        <v>2010</v>
      </c>
      <c r="M195" s="576" t="s">
        <v>56</v>
      </c>
      <c r="N195" s="40" t="s">
        <v>549</v>
      </c>
      <c r="O195" s="40" t="s">
        <v>31</v>
      </c>
      <c r="P195" s="50">
        <v>16002.05</v>
      </c>
      <c r="S195" s="51">
        <v>3</v>
      </c>
      <c r="T195" s="5">
        <v>0</v>
      </c>
      <c r="U195" s="15">
        <v>16001.05</v>
      </c>
      <c r="V195" s="15">
        <v>16001.05</v>
      </c>
      <c r="W195" s="15">
        <f t="shared" si="20"/>
        <v>0</v>
      </c>
      <c r="X195" s="15">
        <f t="shared" si="21"/>
        <v>1</v>
      </c>
      <c r="Y195" s="66"/>
      <c r="AB195" s="67">
        <f t="shared" si="22"/>
        <v>36</v>
      </c>
    </row>
    <row r="196" spans="1:28" s="51" customFormat="1" x14ac:dyDescent="0.25">
      <c r="A196" s="68"/>
      <c r="B196" s="69"/>
      <c r="C196" s="68"/>
      <c r="D196" s="40" t="s">
        <v>550</v>
      </c>
      <c r="E196" s="40"/>
      <c r="F196" s="40"/>
      <c r="G196" s="40"/>
      <c r="H196" s="40" t="s">
        <v>543</v>
      </c>
      <c r="I196" s="35" t="str">
        <f t="shared" si="23"/>
        <v>23/3/2010</v>
      </c>
      <c r="J196" s="63">
        <v>23</v>
      </c>
      <c r="K196" s="63">
        <v>3</v>
      </c>
      <c r="L196" s="64">
        <v>2010</v>
      </c>
      <c r="M196" s="576" t="s">
        <v>56</v>
      </c>
      <c r="N196" s="40" t="s">
        <v>549</v>
      </c>
      <c r="O196" s="40" t="s">
        <v>31</v>
      </c>
      <c r="P196" s="50">
        <v>16002.04</v>
      </c>
      <c r="S196" s="51">
        <v>3</v>
      </c>
      <c r="T196" s="5">
        <v>0</v>
      </c>
      <c r="U196" s="15">
        <v>16001.04</v>
      </c>
      <c r="V196" s="15">
        <v>16001.04</v>
      </c>
      <c r="W196" s="15">
        <f t="shared" si="20"/>
        <v>0</v>
      </c>
      <c r="X196" s="15">
        <f t="shared" si="21"/>
        <v>1</v>
      </c>
      <c r="Y196" s="66"/>
      <c r="AB196" s="67">
        <f t="shared" si="22"/>
        <v>36</v>
      </c>
    </row>
    <row r="197" spans="1:28" s="51" customFormat="1" x14ac:dyDescent="0.25">
      <c r="A197" s="68"/>
      <c r="B197" s="69"/>
      <c r="C197" s="68"/>
      <c r="D197" s="40" t="s">
        <v>550</v>
      </c>
      <c r="E197" s="40"/>
      <c r="F197" s="40"/>
      <c r="G197" s="40"/>
      <c r="H197" s="40" t="s">
        <v>543</v>
      </c>
      <c r="I197" s="35" t="str">
        <f t="shared" si="23"/>
        <v>23/3/2010</v>
      </c>
      <c r="J197" s="63">
        <v>23</v>
      </c>
      <c r="K197" s="63">
        <v>3</v>
      </c>
      <c r="L197" s="64">
        <v>2010</v>
      </c>
      <c r="M197" s="576" t="s">
        <v>56</v>
      </c>
      <c r="N197" s="40" t="s">
        <v>549</v>
      </c>
      <c r="O197" s="40" t="s">
        <v>31</v>
      </c>
      <c r="P197" s="50">
        <v>16002.04</v>
      </c>
      <c r="S197" s="51">
        <v>3</v>
      </c>
      <c r="T197" s="5">
        <v>0</v>
      </c>
      <c r="U197" s="15">
        <v>16001.04</v>
      </c>
      <c r="V197" s="15">
        <v>16001.04</v>
      </c>
      <c r="W197" s="15">
        <f t="shared" si="20"/>
        <v>0</v>
      </c>
      <c r="X197" s="15">
        <f t="shared" si="21"/>
        <v>1</v>
      </c>
      <c r="Y197" s="66"/>
      <c r="AB197" s="67">
        <f t="shared" si="22"/>
        <v>36</v>
      </c>
    </row>
    <row r="198" spans="1:28" s="51" customFormat="1" x14ac:dyDescent="0.25">
      <c r="A198" s="68"/>
      <c r="B198" s="69"/>
      <c r="C198" s="68"/>
      <c r="D198" s="40" t="s">
        <v>551</v>
      </c>
      <c r="E198" s="40"/>
      <c r="F198" s="40"/>
      <c r="G198" s="40"/>
      <c r="H198" s="40" t="s">
        <v>543</v>
      </c>
      <c r="I198" s="35" t="str">
        <f t="shared" si="23"/>
        <v>23/3/2010</v>
      </c>
      <c r="J198" s="63">
        <v>23</v>
      </c>
      <c r="K198" s="63">
        <v>3</v>
      </c>
      <c r="L198" s="64">
        <v>2010</v>
      </c>
      <c r="M198" s="576" t="s">
        <v>56</v>
      </c>
      <c r="N198" s="40" t="s">
        <v>549</v>
      </c>
      <c r="O198" s="40" t="s">
        <v>31</v>
      </c>
      <c r="P198" s="50">
        <v>3269.6433000000002</v>
      </c>
      <c r="S198" s="51">
        <v>3</v>
      </c>
      <c r="T198" s="5">
        <v>0</v>
      </c>
      <c r="U198" s="15">
        <v>3268.6433000000002</v>
      </c>
      <c r="V198" s="15">
        <v>3268.6433000000002</v>
      </c>
      <c r="W198" s="15">
        <f t="shared" si="20"/>
        <v>0</v>
      </c>
      <c r="X198" s="15">
        <f t="shared" si="21"/>
        <v>1</v>
      </c>
      <c r="Y198" s="66"/>
      <c r="AB198" s="67">
        <f t="shared" si="22"/>
        <v>36</v>
      </c>
    </row>
    <row r="199" spans="1:28" s="51" customFormat="1" x14ac:dyDescent="0.25">
      <c r="A199" s="68"/>
      <c r="B199" s="69"/>
      <c r="C199" s="68"/>
      <c r="D199" s="40" t="s">
        <v>551</v>
      </c>
      <c r="E199" s="40"/>
      <c r="F199" s="40"/>
      <c r="G199" s="40"/>
      <c r="H199" s="40" t="s">
        <v>543</v>
      </c>
      <c r="I199" s="35" t="str">
        <f t="shared" si="23"/>
        <v>23/3/2010</v>
      </c>
      <c r="J199" s="63">
        <v>23</v>
      </c>
      <c r="K199" s="63">
        <v>3</v>
      </c>
      <c r="L199" s="64">
        <v>2010</v>
      </c>
      <c r="M199" s="576" t="s">
        <v>56</v>
      </c>
      <c r="N199" s="40" t="s">
        <v>549</v>
      </c>
      <c r="O199" s="40" t="s">
        <v>31</v>
      </c>
      <c r="P199" s="50">
        <v>3269.6433000000002</v>
      </c>
      <c r="S199" s="51">
        <v>3</v>
      </c>
      <c r="T199" s="5">
        <v>0</v>
      </c>
      <c r="U199" s="15">
        <v>3268.6433000000002</v>
      </c>
      <c r="V199" s="15">
        <v>3268.6433000000002</v>
      </c>
      <c r="W199" s="15">
        <f t="shared" si="20"/>
        <v>0</v>
      </c>
      <c r="X199" s="15">
        <f t="shared" si="21"/>
        <v>1</v>
      </c>
      <c r="Y199" s="66"/>
      <c r="AB199" s="67">
        <f t="shared" si="22"/>
        <v>36</v>
      </c>
    </row>
    <row r="200" spans="1:28" s="51" customFormat="1" x14ac:dyDescent="0.25">
      <c r="A200" s="68"/>
      <c r="B200" s="69"/>
      <c r="C200" s="68"/>
      <c r="D200" s="40" t="s">
        <v>551</v>
      </c>
      <c r="E200" s="40"/>
      <c r="F200" s="40"/>
      <c r="G200" s="40"/>
      <c r="H200" s="40" t="s">
        <v>543</v>
      </c>
      <c r="I200" s="35" t="str">
        <f t="shared" si="23"/>
        <v>23/3/2010</v>
      </c>
      <c r="J200" s="63">
        <v>23</v>
      </c>
      <c r="K200" s="63">
        <v>3</v>
      </c>
      <c r="L200" s="64">
        <v>2010</v>
      </c>
      <c r="M200" s="576" t="s">
        <v>56</v>
      </c>
      <c r="N200" s="40" t="s">
        <v>549</v>
      </c>
      <c r="O200" s="40" t="s">
        <v>31</v>
      </c>
      <c r="P200" s="50">
        <v>3269.6433000000002</v>
      </c>
      <c r="S200" s="51">
        <v>3</v>
      </c>
      <c r="T200" s="5">
        <v>0</v>
      </c>
      <c r="U200" s="15">
        <v>3268.6433000000002</v>
      </c>
      <c r="V200" s="15">
        <v>3268.6433000000002</v>
      </c>
      <c r="W200" s="15">
        <f t="shared" si="20"/>
        <v>0</v>
      </c>
      <c r="X200" s="15">
        <f t="shared" si="21"/>
        <v>1</v>
      </c>
      <c r="Y200" s="66"/>
      <c r="AB200" s="67">
        <f t="shared" si="22"/>
        <v>36</v>
      </c>
    </row>
    <row r="201" spans="1:28" s="51" customFormat="1" x14ac:dyDescent="0.25">
      <c r="A201" s="68"/>
      <c r="B201" s="69"/>
      <c r="C201" s="68"/>
      <c r="D201" s="40" t="s">
        <v>551</v>
      </c>
      <c r="E201" s="40"/>
      <c r="F201" s="40"/>
      <c r="G201" s="40"/>
      <c r="H201" s="40" t="s">
        <v>543</v>
      </c>
      <c r="I201" s="35" t="str">
        <f t="shared" si="23"/>
        <v>23/3/2010</v>
      </c>
      <c r="J201" s="63">
        <v>23</v>
      </c>
      <c r="K201" s="63">
        <v>3</v>
      </c>
      <c r="L201" s="64">
        <v>2010</v>
      </c>
      <c r="M201" s="576" t="s">
        <v>56</v>
      </c>
      <c r="N201" s="40" t="s">
        <v>549</v>
      </c>
      <c r="O201" s="40" t="s">
        <v>31</v>
      </c>
      <c r="P201" s="50">
        <v>3269.6433000000002</v>
      </c>
      <c r="S201" s="51">
        <v>3</v>
      </c>
      <c r="T201" s="5">
        <v>0</v>
      </c>
      <c r="U201" s="15">
        <v>3268.6433000000002</v>
      </c>
      <c r="V201" s="15">
        <v>3268.6433000000002</v>
      </c>
      <c r="W201" s="15">
        <f t="shared" si="20"/>
        <v>0</v>
      </c>
      <c r="X201" s="15">
        <f t="shared" si="21"/>
        <v>1</v>
      </c>
      <c r="Y201" s="66"/>
      <c r="AB201" s="67">
        <f t="shared" si="22"/>
        <v>36</v>
      </c>
    </row>
    <row r="202" spans="1:28" s="51" customFormat="1" x14ac:dyDescent="0.25">
      <c r="A202" s="68"/>
      <c r="B202" s="69" t="s">
        <v>205</v>
      </c>
      <c r="C202" s="68" t="s">
        <v>65</v>
      </c>
      <c r="D202" s="40" t="s">
        <v>552</v>
      </c>
      <c r="E202" s="40" t="s">
        <v>39</v>
      </c>
      <c r="F202" s="40" t="s">
        <v>553</v>
      </c>
      <c r="G202" s="40" t="s">
        <v>554</v>
      </c>
      <c r="H202" s="40" t="s">
        <v>555</v>
      </c>
      <c r="I202" s="40"/>
      <c r="J202" s="63">
        <v>12</v>
      </c>
      <c r="K202" s="63">
        <v>10</v>
      </c>
      <c r="L202" s="64">
        <v>2010</v>
      </c>
      <c r="M202" s="40" t="s">
        <v>538</v>
      </c>
      <c r="N202" s="40">
        <v>2084</v>
      </c>
      <c r="O202" s="65" t="s">
        <v>31</v>
      </c>
      <c r="P202" s="30">
        <v>241301.85</v>
      </c>
      <c r="S202" s="52">
        <v>3</v>
      </c>
      <c r="T202" s="5">
        <v>0</v>
      </c>
      <c r="U202" s="15">
        <v>241300.85</v>
      </c>
      <c r="V202" s="15">
        <v>241300.85</v>
      </c>
      <c r="W202" s="15">
        <f t="shared" si="20"/>
        <v>0</v>
      </c>
      <c r="X202" s="15">
        <f t="shared" si="21"/>
        <v>1</v>
      </c>
      <c r="Y202" s="66"/>
      <c r="AB202" s="67">
        <f t="shared" si="22"/>
        <v>36</v>
      </c>
    </row>
    <row r="203" spans="1:28" s="51" customFormat="1" x14ac:dyDescent="0.25">
      <c r="A203" s="68"/>
      <c r="B203" s="69" t="s">
        <v>205</v>
      </c>
      <c r="C203" s="68" t="s">
        <v>65</v>
      </c>
      <c r="D203" s="40" t="s">
        <v>552</v>
      </c>
      <c r="E203" s="40" t="s">
        <v>39</v>
      </c>
      <c r="F203" s="40" t="s">
        <v>553</v>
      </c>
      <c r="G203" s="40" t="s">
        <v>556</v>
      </c>
      <c r="H203" s="40" t="s">
        <v>555</v>
      </c>
      <c r="I203" s="40"/>
      <c r="J203" s="63">
        <v>12</v>
      </c>
      <c r="K203" s="63">
        <v>10</v>
      </c>
      <c r="L203" s="64">
        <v>2010</v>
      </c>
      <c r="M203" s="40" t="s">
        <v>538</v>
      </c>
      <c r="N203" s="40">
        <v>2084</v>
      </c>
      <c r="O203" s="65" t="s">
        <v>31</v>
      </c>
      <c r="P203" s="30">
        <v>241301.8455</v>
      </c>
      <c r="S203" s="52">
        <v>3</v>
      </c>
      <c r="T203" s="5">
        <v>0</v>
      </c>
      <c r="U203" s="15">
        <v>241300.84550000002</v>
      </c>
      <c r="V203" s="15">
        <v>241300.84550000002</v>
      </c>
      <c r="W203" s="15">
        <f t="shared" si="20"/>
        <v>0</v>
      </c>
      <c r="X203" s="15">
        <f t="shared" si="21"/>
        <v>0.99999999997089617</v>
      </c>
      <c r="Y203" s="66"/>
      <c r="AB203" s="67">
        <f t="shared" si="22"/>
        <v>36</v>
      </c>
    </row>
    <row r="204" spans="1:28" s="51" customFormat="1" x14ac:dyDescent="0.25">
      <c r="A204" s="68"/>
      <c r="B204" s="69" t="s">
        <v>205</v>
      </c>
      <c r="C204" s="68" t="s">
        <v>65</v>
      </c>
      <c r="D204" s="40" t="s">
        <v>557</v>
      </c>
      <c r="E204" s="40" t="s">
        <v>39</v>
      </c>
      <c r="F204" s="40" t="s">
        <v>553</v>
      </c>
      <c r="G204" s="40" t="s">
        <v>558</v>
      </c>
      <c r="H204" s="40" t="s">
        <v>555</v>
      </c>
      <c r="I204" s="40"/>
      <c r="J204" s="63">
        <v>12</v>
      </c>
      <c r="K204" s="63">
        <v>10</v>
      </c>
      <c r="L204" s="64">
        <v>2010</v>
      </c>
      <c r="M204" s="40" t="s">
        <v>538</v>
      </c>
      <c r="N204" s="40">
        <v>2084</v>
      </c>
      <c r="O204" s="65" t="s">
        <v>31</v>
      </c>
      <c r="P204" s="30">
        <v>241301.8455</v>
      </c>
      <c r="S204" s="52">
        <v>3</v>
      </c>
      <c r="T204" s="5">
        <v>0</v>
      </c>
      <c r="U204" s="15">
        <v>241300.84550000002</v>
      </c>
      <c r="V204" s="15">
        <v>241300.84550000002</v>
      </c>
      <c r="W204" s="15">
        <f t="shared" si="20"/>
        <v>0</v>
      </c>
      <c r="X204" s="15">
        <f t="shared" si="21"/>
        <v>0.99999999997089617</v>
      </c>
      <c r="Y204" s="66"/>
      <c r="AB204" s="67">
        <f t="shared" si="22"/>
        <v>36</v>
      </c>
    </row>
    <row r="205" spans="1:28" s="51" customFormat="1" x14ac:dyDescent="0.25">
      <c r="A205" s="68"/>
      <c r="B205" s="69" t="s">
        <v>205</v>
      </c>
      <c r="C205" s="68" t="s">
        <v>559</v>
      </c>
      <c r="D205" s="40" t="s">
        <v>560</v>
      </c>
      <c r="E205" s="40" t="s">
        <v>561</v>
      </c>
      <c r="F205" s="40"/>
      <c r="G205" s="40" t="s">
        <v>562</v>
      </c>
      <c r="H205" s="40" t="s">
        <v>563</v>
      </c>
      <c r="I205" s="40"/>
      <c r="J205" s="63">
        <v>15</v>
      </c>
      <c r="K205" s="63">
        <v>12</v>
      </c>
      <c r="L205" s="64">
        <v>2010</v>
      </c>
      <c r="M205" s="40" t="s">
        <v>538</v>
      </c>
      <c r="N205" s="70">
        <v>10004121510</v>
      </c>
      <c r="O205" s="65" t="s">
        <v>31</v>
      </c>
      <c r="P205" s="50">
        <v>4995</v>
      </c>
      <c r="S205" s="52">
        <v>3</v>
      </c>
      <c r="T205" s="5">
        <v>0</v>
      </c>
      <c r="U205" s="15">
        <v>4994</v>
      </c>
      <c r="V205" s="15">
        <v>4994</v>
      </c>
      <c r="W205" s="15">
        <f t="shared" si="20"/>
        <v>0</v>
      </c>
      <c r="X205" s="15">
        <f t="shared" si="21"/>
        <v>1</v>
      </c>
      <c r="Y205" s="66"/>
      <c r="AB205" s="67">
        <f t="shared" si="22"/>
        <v>36</v>
      </c>
    </row>
    <row r="206" spans="1:28" s="51" customFormat="1" x14ac:dyDescent="0.25">
      <c r="A206" s="68"/>
      <c r="B206" s="69" t="s">
        <v>205</v>
      </c>
      <c r="C206" s="68" t="s">
        <v>564</v>
      </c>
      <c r="D206" s="40" t="s">
        <v>560</v>
      </c>
      <c r="E206" s="40" t="s">
        <v>561</v>
      </c>
      <c r="F206" s="40"/>
      <c r="G206" s="40" t="s">
        <v>565</v>
      </c>
      <c r="H206" s="40" t="s">
        <v>563</v>
      </c>
      <c r="I206" s="40"/>
      <c r="J206" s="63">
        <v>15</v>
      </c>
      <c r="K206" s="63">
        <v>12</v>
      </c>
      <c r="L206" s="64">
        <v>2010</v>
      </c>
      <c r="M206" s="40" t="s">
        <v>538</v>
      </c>
      <c r="N206" s="70">
        <v>10004121510</v>
      </c>
      <c r="O206" s="65" t="s">
        <v>31</v>
      </c>
      <c r="P206" s="50">
        <v>4995</v>
      </c>
      <c r="S206" s="52">
        <v>3</v>
      </c>
      <c r="T206" s="5">
        <v>0</v>
      </c>
      <c r="U206" s="15">
        <v>4994</v>
      </c>
      <c r="V206" s="15">
        <v>4994</v>
      </c>
      <c r="W206" s="15">
        <f t="shared" si="20"/>
        <v>0</v>
      </c>
      <c r="X206" s="15">
        <f t="shared" si="21"/>
        <v>1</v>
      </c>
      <c r="Y206" s="66"/>
      <c r="AB206" s="67">
        <f t="shared" si="22"/>
        <v>36</v>
      </c>
    </row>
    <row r="207" spans="1:28" s="51" customFormat="1" x14ac:dyDescent="0.25">
      <c r="A207" s="68"/>
      <c r="B207" s="69" t="s">
        <v>205</v>
      </c>
      <c r="C207" s="68" t="s">
        <v>457</v>
      </c>
      <c r="D207" s="40" t="s">
        <v>566</v>
      </c>
      <c r="E207" s="40"/>
      <c r="F207" s="40"/>
      <c r="G207" s="40" t="s">
        <v>567</v>
      </c>
      <c r="H207" s="40" t="s">
        <v>568</v>
      </c>
      <c r="I207" s="40"/>
      <c r="J207" s="63">
        <v>27</v>
      </c>
      <c r="K207" s="63">
        <v>12</v>
      </c>
      <c r="L207" s="64">
        <v>2010</v>
      </c>
      <c r="M207" s="40" t="s">
        <v>538</v>
      </c>
      <c r="N207" s="40">
        <v>20609</v>
      </c>
      <c r="O207" s="65" t="s">
        <v>31</v>
      </c>
      <c r="P207" s="50">
        <v>8375.2000000000007</v>
      </c>
      <c r="S207" s="52">
        <v>3</v>
      </c>
      <c r="T207" s="5">
        <v>0</v>
      </c>
      <c r="U207" s="15">
        <v>8374.2000000000007</v>
      </c>
      <c r="V207" s="15">
        <v>8374.2000000000007</v>
      </c>
      <c r="W207" s="15">
        <f t="shared" si="20"/>
        <v>0</v>
      </c>
      <c r="X207" s="15">
        <f t="shared" si="21"/>
        <v>1</v>
      </c>
      <c r="Y207" s="66"/>
      <c r="AB207" s="67">
        <f t="shared" si="22"/>
        <v>36</v>
      </c>
    </row>
    <row r="208" spans="1:28" s="51" customFormat="1" x14ac:dyDescent="0.25">
      <c r="A208" s="68"/>
      <c r="B208" s="69" t="s">
        <v>205</v>
      </c>
      <c r="C208" s="68" t="s">
        <v>65</v>
      </c>
      <c r="D208" s="40" t="s">
        <v>569</v>
      </c>
      <c r="E208" s="40"/>
      <c r="F208" s="40"/>
      <c r="G208" s="40" t="s">
        <v>570</v>
      </c>
      <c r="H208" s="40" t="s">
        <v>568</v>
      </c>
      <c r="I208" s="40"/>
      <c r="J208" s="63">
        <v>27</v>
      </c>
      <c r="K208" s="63">
        <v>12</v>
      </c>
      <c r="L208" s="64">
        <v>2010</v>
      </c>
      <c r="M208" s="40" t="s">
        <v>538</v>
      </c>
      <c r="N208" s="40">
        <v>20609</v>
      </c>
      <c r="O208" s="65" t="s">
        <v>31</v>
      </c>
      <c r="P208" s="50">
        <v>8375.2000000000007</v>
      </c>
      <c r="S208" s="52">
        <v>3</v>
      </c>
      <c r="T208" s="5">
        <v>0</v>
      </c>
      <c r="U208" s="15">
        <v>8374.2000000000007</v>
      </c>
      <c r="V208" s="15">
        <v>8374.2000000000007</v>
      </c>
      <c r="W208" s="15">
        <f t="shared" si="20"/>
        <v>0</v>
      </c>
      <c r="X208" s="15">
        <f t="shared" si="21"/>
        <v>1</v>
      </c>
      <c r="Y208" s="66"/>
      <c r="AB208" s="67">
        <f t="shared" si="22"/>
        <v>36</v>
      </c>
    </row>
    <row r="209" spans="1:28" s="51" customFormat="1" x14ac:dyDescent="0.25">
      <c r="A209" s="68"/>
      <c r="B209" s="69" t="s">
        <v>205</v>
      </c>
      <c r="C209" s="68" t="s">
        <v>571</v>
      </c>
      <c r="D209" s="40" t="s">
        <v>569</v>
      </c>
      <c r="E209" s="40"/>
      <c r="F209" s="40"/>
      <c r="G209" s="40" t="s">
        <v>572</v>
      </c>
      <c r="H209" s="40" t="s">
        <v>568</v>
      </c>
      <c r="I209" s="40"/>
      <c r="J209" s="63">
        <v>27</v>
      </c>
      <c r="K209" s="63">
        <v>12</v>
      </c>
      <c r="L209" s="64">
        <v>2010</v>
      </c>
      <c r="M209" s="40" t="s">
        <v>538</v>
      </c>
      <c r="N209" s="40">
        <v>20609</v>
      </c>
      <c r="O209" s="65" t="s">
        <v>31</v>
      </c>
      <c r="P209" s="50">
        <v>8375.2000000000007</v>
      </c>
      <c r="S209" s="52">
        <v>3</v>
      </c>
      <c r="T209" s="5">
        <v>0</v>
      </c>
      <c r="U209" s="15">
        <v>8374.2000000000007</v>
      </c>
      <c r="V209" s="15">
        <v>8374.2000000000007</v>
      </c>
      <c r="W209" s="15">
        <f t="shared" si="20"/>
        <v>0</v>
      </c>
      <c r="X209" s="15">
        <f t="shared" si="21"/>
        <v>1</v>
      </c>
      <c r="Y209" s="66"/>
      <c r="AB209" s="67">
        <f t="shared" si="22"/>
        <v>36</v>
      </c>
    </row>
    <row r="210" spans="1:28" s="51" customFormat="1" x14ac:dyDescent="0.25">
      <c r="A210" s="68"/>
      <c r="B210" s="69" t="s">
        <v>205</v>
      </c>
      <c r="C210" s="68" t="s">
        <v>457</v>
      </c>
      <c r="D210" s="40" t="s">
        <v>569</v>
      </c>
      <c r="E210" s="40"/>
      <c r="F210" s="40"/>
      <c r="G210" s="40" t="s">
        <v>573</v>
      </c>
      <c r="H210" s="40" t="s">
        <v>568</v>
      </c>
      <c r="I210" s="40"/>
      <c r="J210" s="63">
        <v>27</v>
      </c>
      <c r="K210" s="63">
        <v>12</v>
      </c>
      <c r="L210" s="64">
        <v>2010</v>
      </c>
      <c r="M210" s="40" t="s">
        <v>538</v>
      </c>
      <c r="N210" s="40">
        <v>20609</v>
      </c>
      <c r="O210" s="65" t="s">
        <v>31</v>
      </c>
      <c r="P210" s="50">
        <v>8375.2000000000007</v>
      </c>
      <c r="S210" s="52">
        <v>3</v>
      </c>
      <c r="T210" s="5">
        <v>0</v>
      </c>
      <c r="U210" s="15">
        <v>8374.2000000000007</v>
      </c>
      <c r="V210" s="15">
        <v>8374.2000000000007</v>
      </c>
      <c r="W210" s="15">
        <f t="shared" si="20"/>
        <v>0</v>
      </c>
      <c r="X210" s="15">
        <f t="shared" si="21"/>
        <v>1</v>
      </c>
      <c r="Y210" s="66"/>
      <c r="AB210" s="67">
        <f t="shared" si="22"/>
        <v>36</v>
      </c>
    </row>
    <row r="211" spans="1:28" s="51" customFormat="1" x14ac:dyDescent="0.25">
      <c r="A211" s="68"/>
      <c r="B211" s="69" t="s">
        <v>205</v>
      </c>
      <c r="C211" s="68" t="s">
        <v>457</v>
      </c>
      <c r="D211" s="40" t="s">
        <v>569</v>
      </c>
      <c r="E211" s="40"/>
      <c r="F211" s="40"/>
      <c r="G211" s="40" t="s">
        <v>574</v>
      </c>
      <c r="H211" s="40" t="s">
        <v>568</v>
      </c>
      <c r="I211" s="40"/>
      <c r="J211" s="63">
        <v>27</v>
      </c>
      <c r="K211" s="63">
        <v>12</v>
      </c>
      <c r="L211" s="64">
        <v>2010</v>
      </c>
      <c r="M211" s="40" t="s">
        <v>538</v>
      </c>
      <c r="N211" s="40">
        <v>20609</v>
      </c>
      <c r="O211" s="65" t="s">
        <v>31</v>
      </c>
      <c r="P211" s="50">
        <v>8375.2000000000007</v>
      </c>
      <c r="S211" s="52">
        <v>3</v>
      </c>
      <c r="T211" s="5">
        <v>0</v>
      </c>
      <c r="U211" s="15">
        <v>8374.2000000000007</v>
      </c>
      <c r="V211" s="15">
        <v>8374.2000000000007</v>
      </c>
      <c r="W211" s="15">
        <f t="shared" ref="W211:W228" si="24">V211-U211</f>
        <v>0</v>
      </c>
      <c r="X211" s="15">
        <f t="shared" ref="X211:X228" si="25">P211-V211</f>
        <v>1</v>
      </c>
      <c r="Y211" s="66"/>
      <c r="AB211" s="67">
        <f t="shared" si="22"/>
        <v>36</v>
      </c>
    </row>
    <row r="212" spans="1:28" s="51" customFormat="1" x14ac:dyDescent="0.25">
      <c r="A212" s="68"/>
      <c r="B212" s="69" t="s">
        <v>205</v>
      </c>
      <c r="C212" s="68" t="s">
        <v>65</v>
      </c>
      <c r="D212" s="40" t="s">
        <v>569</v>
      </c>
      <c r="E212" s="40"/>
      <c r="F212" s="40"/>
      <c r="G212" s="40" t="s">
        <v>575</v>
      </c>
      <c r="H212" s="40" t="s">
        <v>568</v>
      </c>
      <c r="I212" s="40"/>
      <c r="J212" s="63">
        <v>27</v>
      </c>
      <c r="K212" s="63">
        <v>12</v>
      </c>
      <c r="L212" s="64">
        <v>2010</v>
      </c>
      <c r="M212" s="40" t="s">
        <v>538</v>
      </c>
      <c r="N212" s="40">
        <v>20609</v>
      </c>
      <c r="O212" s="65" t="s">
        <v>31</v>
      </c>
      <c r="P212" s="50">
        <v>8375.2000000000007</v>
      </c>
      <c r="S212" s="52">
        <v>3</v>
      </c>
      <c r="T212" s="5">
        <v>0</v>
      </c>
      <c r="U212" s="15">
        <v>8374.2000000000007</v>
      </c>
      <c r="V212" s="15">
        <v>8374.2000000000007</v>
      </c>
      <c r="W212" s="15">
        <f t="shared" si="24"/>
        <v>0</v>
      </c>
      <c r="X212" s="15">
        <f t="shared" si="25"/>
        <v>1</v>
      </c>
      <c r="Y212" s="66"/>
      <c r="AB212" s="67">
        <f t="shared" si="22"/>
        <v>36</v>
      </c>
    </row>
    <row r="213" spans="1:28" s="51" customFormat="1" x14ac:dyDescent="0.25">
      <c r="A213" s="68"/>
      <c r="B213" s="69" t="s">
        <v>205</v>
      </c>
      <c r="C213" s="68" t="s">
        <v>559</v>
      </c>
      <c r="D213" s="40" t="s">
        <v>569</v>
      </c>
      <c r="E213" s="40"/>
      <c r="F213" s="40"/>
      <c r="G213" s="40" t="s">
        <v>576</v>
      </c>
      <c r="H213" s="40" t="s">
        <v>568</v>
      </c>
      <c r="I213" s="40"/>
      <c r="J213" s="63">
        <v>27</v>
      </c>
      <c r="K213" s="63">
        <v>12</v>
      </c>
      <c r="L213" s="64">
        <v>2010</v>
      </c>
      <c r="M213" s="40" t="s">
        <v>538</v>
      </c>
      <c r="N213" s="40">
        <v>20609</v>
      </c>
      <c r="O213" s="65" t="s">
        <v>31</v>
      </c>
      <c r="P213" s="50">
        <v>8375.2000000000007</v>
      </c>
      <c r="S213" s="52">
        <v>3</v>
      </c>
      <c r="T213" s="5">
        <v>0</v>
      </c>
      <c r="U213" s="15">
        <v>8374.2000000000007</v>
      </c>
      <c r="V213" s="15">
        <v>8374.2000000000007</v>
      </c>
      <c r="W213" s="15">
        <f t="shared" si="24"/>
        <v>0</v>
      </c>
      <c r="X213" s="15">
        <f t="shared" si="25"/>
        <v>1</v>
      </c>
      <c r="Y213" s="66"/>
      <c r="AB213" s="67">
        <f t="shared" si="22"/>
        <v>36</v>
      </c>
    </row>
    <row r="214" spans="1:28" s="51" customFormat="1" x14ac:dyDescent="0.25">
      <c r="A214" s="68"/>
      <c r="B214" s="69" t="s">
        <v>205</v>
      </c>
      <c r="C214" s="68" t="s">
        <v>65</v>
      </c>
      <c r="D214" s="40" t="s">
        <v>569</v>
      </c>
      <c r="E214" s="40"/>
      <c r="F214" s="40"/>
      <c r="G214" s="40" t="s">
        <v>577</v>
      </c>
      <c r="H214" s="40" t="s">
        <v>568</v>
      </c>
      <c r="I214" s="40"/>
      <c r="J214" s="63">
        <v>27</v>
      </c>
      <c r="K214" s="63">
        <v>12</v>
      </c>
      <c r="L214" s="64">
        <v>2010</v>
      </c>
      <c r="M214" s="40" t="s">
        <v>538</v>
      </c>
      <c r="N214" s="40">
        <v>20609</v>
      </c>
      <c r="O214" s="65" t="s">
        <v>31</v>
      </c>
      <c r="P214" s="50">
        <v>8375.2000000000007</v>
      </c>
      <c r="S214" s="52">
        <v>3</v>
      </c>
      <c r="T214" s="5">
        <v>0</v>
      </c>
      <c r="U214" s="15">
        <v>8374.2000000000007</v>
      </c>
      <c r="V214" s="15">
        <v>8374.2000000000007</v>
      </c>
      <c r="W214" s="15">
        <f t="shared" si="24"/>
        <v>0</v>
      </c>
      <c r="X214" s="15">
        <f t="shared" si="25"/>
        <v>1</v>
      </c>
      <c r="Y214" s="66"/>
      <c r="AB214" s="67">
        <f t="shared" si="22"/>
        <v>36</v>
      </c>
    </row>
    <row r="215" spans="1:28" s="51" customFormat="1" x14ac:dyDescent="0.25">
      <c r="A215" s="68"/>
      <c r="B215" s="69" t="s">
        <v>205</v>
      </c>
      <c r="C215" s="68" t="s">
        <v>65</v>
      </c>
      <c r="D215" s="40" t="s">
        <v>569</v>
      </c>
      <c r="E215" s="40"/>
      <c r="F215" s="40"/>
      <c r="G215" s="40" t="s">
        <v>578</v>
      </c>
      <c r="H215" s="40" t="s">
        <v>568</v>
      </c>
      <c r="I215" s="40"/>
      <c r="J215" s="63">
        <v>27</v>
      </c>
      <c r="K215" s="63">
        <v>12</v>
      </c>
      <c r="L215" s="64">
        <v>2010</v>
      </c>
      <c r="M215" s="40" t="s">
        <v>538</v>
      </c>
      <c r="N215" s="40">
        <v>20609</v>
      </c>
      <c r="O215" s="65" t="s">
        <v>31</v>
      </c>
      <c r="P215" s="50">
        <v>8375.2000000000007</v>
      </c>
      <c r="S215" s="52">
        <v>3</v>
      </c>
      <c r="T215" s="5">
        <v>0</v>
      </c>
      <c r="U215" s="15">
        <v>8374.2000000000007</v>
      </c>
      <c r="V215" s="15">
        <v>8374.2000000000007</v>
      </c>
      <c r="W215" s="15">
        <f t="shared" si="24"/>
        <v>0</v>
      </c>
      <c r="X215" s="15">
        <f t="shared" si="25"/>
        <v>1</v>
      </c>
      <c r="Y215" s="66"/>
      <c r="AB215" s="67">
        <f t="shared" si="22"/>
        <v>36</v>
      </c>
    </row>
    <row r="216" spans="1:28" s="51" customFormat="1" x14ac:dyDescent="0.25">
      <c r="A216" s="68"/>
      <c r="B216" s="69" t="s">
        <v>205</v>
      </c>
      <c r="C216" s="68" t="s">
        <v>65</v>
      </c>
      <c r="D216" s="40" t="s">
        <v>569</v>
      </c>
      <c r="E216" s="40"/>
      <c r="F216" s="40"/>
      <c r="G216" s="40" t="s">
        <v>579</v>
      </c>
      <c r="H216" s="40" t="s">
        <v>568</v>
      </c>
      <c r="I216" s="40"/>
      <c r="J216" s="63">
        <v>27</v>
      </c>
      <c r="K216" s="63">
        <v>12</v>
      </c>
      <c r="L216" s="64">
        <v>2010</v>
      </c>
      <c r="M216" s="40" t="s">
        <v>538</v>
      </c>
      <c r="N216" s="40">
        <v>20609</v>
      </c>
      <c r="O216" s="65" t="s">
        <v>31</v>
      </c>
      <c r="P216" s="50">
        <v>8375.2000000000007</v>
      </c>
      <c r="S216" s="52">
        <v>3</v>
      </c>
      <c r="T216" s="5">
        <v>0</v>
      </c>
      <c r="U216" s="15">
        <v>8374.2000000000007</v>
      </c>
      <c r="V216" s="15">
        <v>8374.2000000000007</v>
      </c>
      <c r="W216" s="15">
        <f t="shared" si="24"/>
        <v>0</v>
      </c>
      <c r="X216" s="15">
        <f t="shared" si="25"/>
        <v>1</v>
      </c>
      <c r="Y216" s="66"/>
      <c r="AB216" s="67">
        <f t="shared" si="22"/>
        <v>36</v>
      </c>
    </row>
    <row r="217" spans="1:28" s="51" customFormat="1" x14ac:dyDescent="0.25">
      <c r="A217" s="68"/>
      <c r="B217" s="69" t="s">
        <v>205</v>
      </c>
      <c r="C217" s="68" t="s">
        <v>65</v>
      </c>
      <c r="D217" s="40" t="s">
        <v>569</v>
      </c>
      <c r="E217" s="40"/>
      <c r="F217" s="40"/>
      <c r="G217" s="40" t="s">
        <v>580</v>
      </c>
      <c r="H217" s="40" t="s">
        <v>568</v>
      </c>
      <c r="I217" s="40"/>
      <c r="J217" s="63">
        <v>27</v>
      </c>
      <c r="K217" s="63">
        <v>12</v>
      </c>
      <c r="L217" s="64">
        <v>2010</v>
      </c>
      <c r="M217" s="40" t="s">
        <v>538</v>
      </c>
      <c r="N217" s="40">
        <v>20609</v>
      </c>
      <c r="O217" s="65" t="s">
        <v>31</v>
      </c>
      <c r="P217" s="50">
        <v>8375.2000000000007</v>
      </c>
      <c r="S217" s="52">
        <v>3</v>
      </c>
      <c r="T217" s="5">
        <v>0</v>
      </c>
      <c r="U217" s="15">
        <v>8374.2000000000007</v>
      </c>
      <c r="V217" s="15">
        <v>8374.2000000000007</v>
      </c>
      <c r="W217" s="15">
        <f t="shared" si="24"/>
        <v>0</v>
      </c>
      <c r="X217" s="15">
        <f t="shared" si="25"/>
        <v>1</v>
      </c>
      <c r="Y217" s="66"/>
      <c r="AB217" s="67">
        <f t="shared" si="22"/>
        <v>36</v>
      </c>
    </row>
    <row r="218" spans="1:28" s="51" customFormat="1" x14ac:dyDescent="0.25">
      <c r="A218" s="68"/>
      <c r="B218" s="69" t="s">
        <v>205</v>
      </c>
      <c r="C218" s="68" t="s">
        <v>65</v>
      </c>
      <c r="D218" s="40" t="s">
        <v>569</v>
      </c>
      <c r="E218" s="40"/>
      <c r="F218" s="40"/>
      <c r="G218" s="40" t="s">
        <v>581</v>
      </c>
      <c r="H218" s="40" t="s">
        <v>568</v>
      </c>
      <c r="I218" s="40"/>
      <c r="J218" s="63">
        <v>27</v>
      </c>
      <c r="K218" s="63">
        <v>12</v>
      </c>
      <c r="L218" s="64">
        <v>2010</v>
      </c>
      <c r="M218" s="40" t="s">
        <v>538</v>
      </c>
      <c r="N218" s="40">
        <v>20609</v>
      </c>
      <c r="O218" s="65" t="s">
        <v>31</v>
      </c>
      <c r="P218" s="50">
        <v>8375.2000000000007</v>
      </c>
      <c r="S218" s="52">
        <v>3</v>
      </c>
      <c r="T218" s="5">
        <v>0</v>
      </c>
      <c r="U218" s="15">
        <v>8374.2000000000007</v>
      </c>
      <c r="V218" s="15">
        <v>8374.2000000000007</v>
      </c>
      <c r="W218" s="15">
        <f t="shared" si="24"/>
        <v>0</v>
      </c>
      <c r="X218" s="15">
        <f t="shared" si="25"/>
        <v>1</v>
      </c>
      <c r="Y218" s="66"/>
      <c r="AB218" s="67">
        <f t="shared" si="22"/>
        <v>36</v>
      </c>
    </row>
    <row r="219" spans="1:28" s="51" customFormat="1" x14ac:dyDescent="0.25">
      <c r="A219" s="68"/>
      <c r="B219" s="69" t="s">
        <v>205</v>
      </c>
      <c r="C219" s="68" t="s">
        <v>65</v>
      </c>
      <c r="D219" s="40" t="s">
        <v>569</v>
      </c>
      <c r="E219" s="40"/>
      <c r="F219" s="40"/>
      <c r="G219" s="40" t="s">
        <v>582</v>
      </c>
      <c r="H219" s="40" t="s">
        <v>568</v>
      </c>
      <c r="I219" s="40"/>
      <c r="J219" s="63">
        <v>27</v>
      </c>
      <c r="K219" s="63">
        <v>12</v>
      </c>
      <c r="L219" s="64">
        <v>2010</v>
      </c>
      <c r="M219" s="40" t="s">
        <v>538</v>
      </c>
      <c r="N219" s="40">
        <v>20609</v>
      </c>
      <c r="O219" s="65" t="s">
        <v>31</v>
      </c>
      <c r="P219" s="50">
        <v>8375.2000000000007</v>
      </c>
      <c r="S219" s="52">
        <v>3</v>
      </c>
      <c r="T219" s="5">
        <v>0</v>
      </c>
      <c r="U219" s="15">
        <v>8374.2000000000007</v>
      </c>
      <c r="V219" s="15">
        <v>8374.2000000000007</v>
      </c>
      <c r="W219" s="15">
        <f t="shared" si="24"/>
        <v>0</v>
      </c>
      <c r="X219" s="15">
        <f t="shared" si="25"/>
        <v>1</v>
      </c>
      <c r="Y219" s="66"/>
      <c r="AB219" s="67">
        <f t="shared" si="22"/>
        <v>36</v>
      </c>
    </row>
    <row r="220" spans="1:28" s="51" customFormat="1" x14ac:dyDescent="0.25">
      <c r="A220" s="68"/>
      <c r="B220" s="69" t="s">
        <v>205</v>
      </c>
      <c r="C220" s="68" t="s">
        <v>65</v>
      </c>
      <c r="D220" s="40" t="s">
        <v>569</v>
      </c>
      <c r="E220" s="40"/>
      <c r="F220" s="40"/>
      <c r="G220" s="40" t="s">
        <v>583</v>
      </c>
      <c r="H220" s="40" t="s">
        <v>568</v>
      </c>
      <c r="I220" s="40"/>
      <c r="J220" s="63">
        <v>27</v>
      </c>
      <c r="K220" s="63">
        <v>12</v>
      </c>
      <c r="L220" s="64">
        <v>2010</v>
      </c>
      <c r="M220" s="40" t="s">
        <v>538</v>
      </c>
      <c r="N220" s="40">
        <v>20609</v>
      </c>
      <c r="O220" s="65" t="s">
        <v>31</v>
      </c>
      <c r="P220" s="50">
        <v>8375.2000000000007</v>
      </c>
      <c r="S220" s="52">
        <v>3</v>
      </c>
      <c r="T220" s="5">
        <v>0</v>
      </c>
      <c r="U220" s="15">
        <v>8374.2000000000007</v>
      </c>
      <c r="V220" s="15">
        <v>8374.2000000000007</v>
      </c>
      <c r="W220" s="15">
        <f t="shared" si="24"/>
        <v>0</v>
      </c>
      <c r="X220" s="15">
        <f t="shared" si="25"/>
        <v>1</v>
      </c>
      <c r="Y220" s="66"/>
      <c r="AB220" s="67">
        <f t="shared" si="22"/>
        <v>36</v>
      </c>
    </row>
    <row r="221" spans="1:28" s="51" customFormat="1" x14ac:dyDescent="0.25">
      <c r="A221" s="68"/>
      <c r="B221" s="69" t="s">
        <v>205</v>
      </c>
      <c r="C221" s="68" t="s">
        <v>65</v>
      </c>
      <c r="D221" s="40" t="s">
        <v>569</v>
      </c>
      <c r="E221" s="40"/>
      <c r="F221" s="40"/>
      <c r="G221" s="40" t="s">
        <v>584</v>
      </c>
      <c r="H221" s="40" t="s">
        <v>568</v>
      </c>
      <c r="I221" s="40"/>
      <c r="J221" s="63">
        <v>27</v>
      </c>
      <c r="K221" s="63">
        <v>12</v>
      </c>
      <c r="L221" s="64">
        <v>2010</v>
      </c>
      <c r="M221" s="40" t="s">
        <v>538</v>
      </c>
      <c r="N221" s="40">
        <v>20609</v>
      </c>
      <c r="O221" s="65" t="s">
        <v>31</v>
      </c>
      <c r="P221" s="50">
        <v>8375.2000000000007</v>
      </c>
      <c r="S221" s="52">
        <v>3</v>
      </c>
      <c r="T221" s="5">
        <v>0</v>
      </c>
      <c r="U221" s="15">
        <v>8374.2000000000007</v>
      </c>
      <c r="V221" s="15">
        <v>8374.2000000000007</v>
      </c>
      <c r="W221" s="15">
        <f t="shared" si="24"/>
        <v>0</v>
      </c>
      <c r="X221" s="15">
        <f t="shared" si="25"/>
        <v>1</v>
      </c>
      <c r="Y221" s="66"/>
      <c r="AB221" s="67">
        <f t="shared" si="22"/>
        <v>36</v>
      </c>
    </row>
    <row r="222" spans="1:28" s="51" customFormat="1" x14ac:dyDescent="0.25">
      <c r="A222" s="68"/>
      <c r="B222" s="69" t="s">
        <v>205</v>
      </c>
      <c r="C222" s="68" t="s">
        <v>65</v>
      </c>
      <c r="D222" s="40" t="s">
        <v>569</v>
      </c>
      <c r="E222" s="40"/>
      <c r="F222" s="40"/>
      <c r="G222" s="40" t="s">
        <v>585</v>
      </c>
      <c r="H222" s="40" t="s">
        <v>568</v>
      </c>
      <c r="I222" s="40"/>
      <c r="J222" s="63">
        <v>27</v>
      </c>
      <c r="K222" s="63">
        <v>12</v>
      </c>
      <c r="L222" s="64">
        <v>2010</v>
      </c>
      <c r="M222" s="40" t="s">
        <v>538</v>
      </c>
      <c r="N222" s="40">
        <v>20609</v>
      </c>
      <c r="O222" s="65" t="s">
        <v>31</v>
      </c>
      <c r="P222" s="50">
        <v>8375.2000000000007</v>
      </c>
      <c r="S222" s="52">
        <v>3</v>
      </c>
      <c r="T222" s="5">
        <v>0</v>
      </c>
      <c r="U222" s="15">
        <v>8374.2000000000007</v>
      </c>
      <c r="V222" s="15">
        <v>8374.2000000000007</v>
      </c>
      <c r="W222" s="15">
        <f t="shared" si="24"/>
        <v>0</v>
      </c>
      <c r="X222" s="15">
        <f t="shared" si="25"/>
        <v>1</v>
      </c>
      <c r="Y222" s="66"/>
      <c r="AB222" s="67">
        <f t="shared" si="22"/>
        <v>36</v>
      </c>
    </row>
    <row r="223" spans="1:28" s="51" customFormat="1" x14ac:dyDescent="0.25">
      <c r="A223" s="68"/>
      <c r="B223" s="69" t="s">
        <v>205</v>
      </c>
      <c r="C223" s="68" t="s">
        <v>586</v>
      </c>
      <c r="D223" s="40" t="s">
        <v>569</v>
      </c>
      <c r="E223" s="40"/>
      <c r="F223" s="40"/>
      <c r="G223" s="40" t="s">
        <v>587</v>
      </c>
      <c r="H223" s="40" t="s">
        <v>568</v>
      </c>
      <c r="I223" s="40"/>
      <c r="J223" s="63">
        <v>27</v>
      </c>
      <c r="K223" s="63">
        <v>12</v>
      </c>
      <c r="L223" s="64">
        <v>2010</v>
      </c>
      <c r="M223" s="40" t="s">
        <v>538</v>
      </c>
      <c r="N223" s="40">
        <v>20609</v>
      </c>
      <c r="O223" s="65" t="s">
        <v>31</v>
      </c>
      <c r="P223" s="50">
        <v>8375.2000000000007</v>
      </c>
      <c r="S223" s="52">
        <v>3</v>
      </c>
      <c r="T223" s="5">
        <v>0</v>
      </c>
      <c r="U223" s="15">
        <v>8374.2000000000007</v>
      </c>
      <c r="V223" s="15">
        <v>8374.2000000000007</v>
      </c>
      <c r="W223" s="15">
        <f t="shared" si="24"/>
        <v>0</v>
      </c>
      <c r="X223" s="15">
        <f t="shared" si="25"/>
        <v>1</v>
      </c>
      <c r="Y223" s="66"/>
      <c r="AB223" s="67">
        <f t="shared" si="22"/>
        <v>36</v>
      </c>
    </row>
    <row r="224" spans="1:28" s="51" customFormat="1" x14ac:dyDescent="0.25">
      <c r="A224" s="68"/>
      <c r="B224" s="69" t="s">
        <v>205</v>
      </c>
      <c r="C224" s="68" t="s">
        <v>457</v>
      </c>
      <c r="D224" s="40" t="s">
        <v>569</v>
      </c>
      <c r="E224" s="40"/>
      <c r="F224" s="40"/>
      <c r="G224" s="40" t="s">
        <v>588</v>
      </c>
      <c r="H224" s="40" t="s">
        <v>568</v>
      </c>
      <c r="I224" s="40"/>
      <c r="J224" s="63">
        <v>27</v>
      </c>
      <c r="K224" s="63">
        <v>12</v>
      </c>
      <c r="L224" s="64">
        <v>2010</v>
      </c>
      <c r="M224" s="40" t="s">
        <v>538</v>
      </c>
      <c r="N224" s="40">
        <v>20609</v>
      </c>
      <c r="O224" s="65" t="s">
        <v>31</v>
      </c>
      <c r="P224" s="50">
        <v>8375.2000000000007</v>
      </c>
      <c r="S224" s="52">
        <v>3</v>
      </c>
      <c r="T224" s="5">
        <v>0</v>
      </c>
      <c r="U224" s="15">
        <v>8374.2000000000007</v>
      </c>
      <c r="V224" s="15">
        <v>8374.2000000000007</v>
      </c>
      <c r="W224" s="15">
        <f t="shared" si="24"/>
        <v>0</v>
      </c>
      <c r="X224" s="15">
        <f t="shared" si="25"/>
        <v>1</v>
      </c>
      <c r="Y224" s="66"/>
      <c r="AB224" s="67">
        <f t="shared" si="22"/>
        <v>36</v>
      </c>
    </row>
    <row r="225" spans="1:28" s="51" customFormat="1" x14ac:dyDescent="0.25">
      <c r="A225" s="68"/>
      <c r="B225" s="69" t="s">
        <v>205</v>
      </c>
      <c r="C225" s="68" t="s">
        <v>65</v>
      </c>
      <c r="D225" s="40" t="s">
        <v>569</v>
      </c>
      <c r="E225" s="40"/>
      <c r="F225" s="40"/>
      <c r="G225" s="40" t="s">
        <v>589</v>
      </c>
      <c r="H225" s="40" t="s">
        <v>568</v>
      </c>
      <c r="I225" s="40"/>
      <c r="J225" s="63">
        <v>27</v>
      </c>
      <c r="K225" s="63">
        <v>12</v>
      </c>
      <c r="L225" s="64">
        <v>2010</v>
      </c>
      <c r="M225" s="40" t="s">
        <v>538</v>
      </c>
      <c r="N225" s="40">
        <v>20609</v>
      </c>
      <c r="O225" s="65" t="s">
        <v>31</v>
      </c>
      <c r="P225" s="50">
        <v>8375.2000000000007</v>
      </c>
      <c r="S225" s="52">
        <v>3</v>
      </c>
      <c r="T225" s="5">
        <v>0</v>
      </c>
      <c r="U225" s="15">
        <v>8374.2000000000007</v>
      </c>
      <c r="V225" s="15">
        <v>8374.2000000000007</v>
      </c>
      <c r="W225" s="15">
        <f t="shared" si="24"/>
        <v>0</v>
      </c>
      <c r="X225" s="15">
        <f t="shared" si="25"/>
        <v>1</v>
      </c>
      <c r="Y225" s="66"/>
      <c r="AB225" s="67">
        <f t="shared" si="22"/>
        <v>36</v>
      </c>
    </row>
    <row r="226" spans="1:28" s="51" customFormat="1" x14ac:dyDescent="0.25">
      <c r="A226" s="68"/>
      <c r="B226" s="69" t="s">
        <v>205</v>
      </c>
      <c r="C226" s="68" t="s">
        <v>65</v>
      </c>
      <c r="D226" s="40" t="s">
        <v>569</v>
      </c>
      <c r="E226" s="40"/>
      <c r="F226" s="40"/>
      <c r="G226" s="40" t="s">
        <v>590</v>
      </c>
      <c r="H226" s="40" t="s">
        <v>568</v>
      </c>
      <c r="I226" s="40"/>
      <c r="J226" s="63">
        <v>27</v>
      </c>
      <c r="K226" s="63">
        <v>12</v>
      </c>
      <c r="L226" s="64">
        <v>2010</v>
      </c>
      <c r="M226" s="40" t="s">
        <v>538</v>
      </c>
      <c r="N226" s="40">
        <v>20609</v>
      </c>
      <c r="O226" s="65" t="s">
        <v>31</v>
      </c>
      <c r="P226" s="50">
        <v>8375.2000000000007</v>
      </c>
      <c r="S226" s="52">
        <v>3</v>
      </c>
      <c r="T226" s="5">
        <v>0</v>
      </c>
      <c r="U226" s="15">
        <v>8374.2000000000007</v>
      </c>
      <c r="V226" s="15">
        <v>8374.2000000000007</v>
      </c>
      <c r="W226" s="15">
        <f t="shared" si="24"/>
        <v>0</v>
      </c>
      <c r="X226" s="15">
        <f t="shared" si="25"/>
        <v>1</v>
      </c>
      <c r="Y226" s="66"/>
      <c r="AB226" s="67">
        <f t="shared" si="22"/>
        <v>36</v>
      </c>
    </row>
    <row r="227" spans="1:28" s="33" customFormat="1" x14ac:dyDescent="0.25">
      <c r="A227" s="68"/>
      <c r="B227" s="69" t="s">
        <v>205</v>
      </c>
      <c r="C227" s="68" t="s">
        <v>591</v>
      </c>
      <c r="D227" s="62" t="s">
        <v>592</v>
      </c>
      <c r="E227" s="40" t="s">
        <v>133</v>
      </c>
      <c r="F227" s="40" t="s">
        <v>593</v>
      </c>
      <c r="G227" s="40" t="s">
        <v>594</v>
      </c>
      <c r="H227" s="40" t="s">
        <v>595</v>
      </c>
      <c r="I227" s="40"/>
      <c r="J227" s="63">
        <v>7</v>
      </c>
      <c r="K227" s="63">
        <v>12</v>
      </c>
      <c r="L227" s="64">
        <v>2010</v>
      </c>
      <c r="M227" s="40" t="s">
        <v>538</v>
      </c>
      <c r="N227" s="40" t="s">
        <v>596</v>
      </c>
      <c r="O227" s="65" t="s">
        <v>31</v>
      </c>
      <c r="P227" s="50">
        <v>5782.6</v>
      </c>
      <c r="S227" s="52">
        <v>3</v>
      </c>
      <c r="T227" s="5">
        <v>0</v>
      </c>
      <c r="U227" s="15">
        <v>5781.5999999999995</v>
      </c>
      <c r="V227" s="15">
        <v>5781.5999999999995</v>
      </c>
      <c r="W227" s="15">
        <f t="shared" si="24"/>
        <v>0</v>
      </c>
      <c r="X227" s="15">
        <f t="shared" si="25"/>
        <v>1.0000000000009095</v>
      </c>
      <c r="Y227" s="66"/>
      <c r="AB227" s="67">
        <f t="shared" si="22"/>
        <v>36</v>
      </c>
    </row>
    <row r="228" spans="1:28" s="33" customFormat="1" x14ac:dyDescent="0.25">
      <c r="A228" s="68"/>
      <c r="B228" s="69" t="s">
        <v>205</v>
      </c>
      <c r="C228" s="68" t="s">
        <v>591</v>
      </c>
      <c r="D228" s="62" t="s">
        <v>592</v>
      </c>
      <c r="E228" s="40" t="s">
        <v>133</v>
      </c>
      <c r="F228" s="40" t="s">
        <v>593</v>
      </c>
      <c r="G228" s="40" t="s">
        <v>597</v>
      </c>
      <c r="H228" s="40" t="s">
        <v>595</v>
      </c>
      <c r="I228" s="40"/>
      <c r="J228" s="63">
        <v>7</v>
      </c>
      <c r="K228" s="63">
        <v>12</v>
      </c>
      <c r="L228" s="64">
        <v>2010</v>
      </c>
      <c r="M228" s="40" t="s">
        <v>538</v>
      </c>
      <c r="N228" s="40" t="s">
        <v>596</v>
      </c>
      <c r="O228" s="65" t="s">
        <v>31</v>
      </c>
      <c r="P228" s="50">
        <v>5782.6</v>
      </c>
      <c r="S228" s="52">
        <v>3</v>
      </c>
      <c r="T228" s="5">
        <v>0</v>
      </c>
      <c r="U228" s="15">
        <v>5781.5999999999995</v>
      </c>
      <c r="V228" s="15">
        <v>5781.5999999999995</v>
      </c>
      <c r="W228" s="15">
        <f t="shared" si="24"/>
        <v>0</v>
      </c>
      <c r="X228" s="15">
        <f t="shared" si="25"/>
        <v>1.0000000000009095</v>
      </c>
      <c r="Y228" s="66"/>
      <c r="AB228" s="67">
        <f t="shared" si="22"/>
        <v>36</v>
      </c>
    </row>
    <row r="229" spans="1:28" s="55" customFormat="1" x14ac:dyDescent="0.25">
      <c r="A229" s="22" t="s">
        <v>598</v>
      </c>
      <c r="B229" s="71"/>
      <c r="C229" s="71"/>
      <c r="D229" s="56"/>
      <c r="E229" s="57"/>
      <c r="F229" s="57"/>
      <c r="G229" s="57"/>
      <c r="H229" s="57"/>
      <c r="I229" s="57"/>
      <c r="J229" s="58"/>
      <c r="K229" s="58"/>
      <c r="L229" s="72"/>
      <c r="M229" s="57"/>
      <c r="N229" s="57"/>
      <c r="O229" s="57"/>
      <c r="P229" s="26">
        <f>SUM(P179:P228)</f>
        <v>1916372.7241999994</v>
      </c>
      <c r="Q229" s="28">
        <f>SUM(Q179:Q228)</f>
        <v>0</v>
      </c>
      <c r="R229" s="28"/>
      <c r="S229" s="28"/>
      <c r="T229" s="26">
        <f t="shared" ref="T229:Y229" si="26">SUM(T179:T228)</f>
        <v>0</v>
      </c>
      <c r="U229" s="26">
        <v>1916322.7241999991</v>
      </c>
      <c r="V229" s="26">
        <f t="shared" si="26"/>
        <v>1916322.7241999991</v>
      </c>
      <c r="W229" s="26">
        <f t="shared" si="26"/>
        <v>0</v>
      </c>
      <c r="X229" s="26">
        <f t="shared" si="26"/>
        <v>50.000000000103682</v>
      </c>
      <c r="Y229" s="26">
        <f t="shared" si="26"/>
        <v>0</v>
      </c>
      <c r="AB229" s="61"/>
    </row>
    <row r="230" spans="1:28" s="55" customFormat="1" x14ac:dyDescent="0.25">
      <c r="A230" s="23"/>
      <c r="B230" s="71"/>
      <c r="C230" s="71"/>
      <c r="D230" s="56"/>
      <c r="E230" s="57"/>
      <c r="F230" s="57"/>
      <c r="G230" s="57"/>
      <c r="H230" s="57"/>
      <c r="I230" s="57"/>
      <c r="J230" s="58"/>
      <c r="K230" s="58"/>
      <c r="L230" s="72"/>
      <c r="M230" s="57"/>
      <c r="N230" s="57"/>
      <c r="O230" s="57"/>
      <c r="P230" s="28"/>
      <c r="S230" s="73"/>
      <c r="T230" s="28"/>
      <c r="U230" s="28"/>
      <c r="V230" s="74"/>
      <c r="W230" s="74"/>
      <c r="X230" s="74"/>
    </row>
    <row r="231" spans="1:28" s="55" customFormat="1" x14ac:dyDescent="0.25">
      <c r="A231" s="22" t="s">
        <v>599</v>
      </c>
      <c r="B231" s="71"/>
      <c r="C231" s="71"/>
      <c r="D231" s="56"/>
      <c r="E231" s="57"/>
      <c r="F231" s="57"/>
      <c r="G231" s="57"/>
      <c r="H231" s="57"/>
      <c r="I231" s="57"/>
      <c r="J231" s="58"/>
      <c r="K231" s="58"/>
      <c r="L231" s="72"/>
      <c r="M231" s="57"/>
      <c r="N231" s="57"/>
      <c r="O231" s="57"/>
      <c r="P231" s="29">
        <f>+P177+P229</f>
        <v>9151946.0341999996</v>
      </c>
      <c r="Q231" s="28">
        <f>+Q177+Q229</f>
        <v>0</v>
      </c>
      <c r="R231" s="28"/>
      <c r="S231" s="28"/>
      <c r="T231" s="29">
        <f t="shared" ref="T231:Y231" si="27">+T177+T229</f>
        <v>0</v>
      </c>
      <c r="U231" s="29">
        <v>9168063.1730888877</v>
      </c>
      <c r="V231" s="29">
        <f t="shared" si="27"/>
        <v>9168063.1730888877</v>
      </c>
      <c r="W231" s="29">
        <f t="shared" si="27"/>
        <v>0</v>
      </c>
      <c r="X231" s="29">
        <f t="shared" si="27"/>
        <v>202.00000000010368</v>
      </c>
      <c r="Y231" s="29">
        <f t="shared" si="27"/>
        <v>0</v>
      </c>
    </row>
    <row r="232" spans="1:28" s="33" customFormat="1" x14ac:dyDescent="0.25">
      <c r="A232" s="68"/>
      <c r="B232" s="68"/>
      <c r="C232" s="68"/>
      <c r="D232" s="62"/>
      <c r="E232" s="40"/>
      <c r="F232" s="40"/>
      <c r="G232" s="40"/>
      <c r="H232" s="40"/>
      <c r="I232" s="40"/>
      <c r="J232" s="63"/>
      <c r="K232" s="63"/>
      <c r="L232" s="70"/>
      <c r="M232" s="40"/>
      <c r="N232" s="40"/>
      <c r="O232" s="40"/>
      <c r="P232" s="30"/>
      <c r="S232" s="52"/>
      <c r="T232" s="30"/>
      <c r="U232" s="30"/>
      <c r="V232" s="66"/>
      <c r="W232" s="66"/>
      <c r="X232" s="66"/>
    </row>
    <row r="233" spans="1:28" s="33" customFormat="1" ht="15.75" customHeight="1" x14ac:dyDescent="0.25">
      <c r="A233" s="68"/>
      <c r="B233" s="68"/>
      <c r="C233" s="68"/>
      <c r="D233" s="579" t="s">
        <v>600</v>
      </c>
      <c r="E233" s="76" t="s">
        <v>472</v>
      </c>
      <c r="F233" s="80" t="s">
        <v>601</v>
      </c>
      <c r="G233" s="76" t="s">
        <v>602</v>
      </c>
      <c r="H233" s="76" t="s">
        <v>603</v>
      </c>
      <c r="I233" s="76"/>
      <c r="J233" s="81">
        <v>20</v>
      </c>
      <c r="K233" s="81">
        <v>1</v>
      </c>
      <c r="L233" s="82">
        <v>2011</v>
      </c>
      <c r="M233" s="76" t="s">
        <v>56</v>
      </c>
      <c r="N233" s="90" t="s">
        <v>604</v>
      </c>
      <c r="O233" s="76" t="s">
        <v>31</v>
      </c>
      <c r="P233" s="15">
        <v>51871.673999999999</v>
      </c>
      <c r="Q233" s="613"/>
      <c r="R233" s="613"/>
      <c r="S233" s="614">
        <v>3</v>
      </c>
      <c r="T233" s="5">
        <v>0</v>
      </c>
      <c r="U233" s="5">
        <v>51870.673999999992</v>
      </c>
      <c r="V233" s="5">
        <v>51870.673999999992</v>
      </c>
      <c r="W233" s="15">
        <f>V233-U233</f>
        <v>0</v>
      </c>
      <c r="X233" s="77">
        <f>P233-V233</f>
        <v>1.000000000007276</v>
      </c>
      <c r="Y233" s="80">
        <v>15086</v>
      </c>
      <c r="AB233" s="67">
        <f t="shared" ref="AB233:AB270" si="28">IF((DATEDIF(I233,AB$4,"m"))&gt;=36,36,(DATEDIF(I233,AB$4,"m")))</f>
        <v>36</v>
      </c>
    </row>
    <row r="234" spans="1:28" s="33" customFormat="1" x14ac:dyDescent="0.25">
      <c r="A234" s="68"/>
      <c r="B234" s="68"/>
      <c r="C234" s="68"/>
      <c r="D234" s="579" t="s">
        <v>605</v>
      </c>
      <c r="E234" s="76" t="s">
        <v>472</v>
      </c>
      <c r="F234" s="80" t="s">
        <v>601</v>
      </c>
      <c r="G234" s="76" t="s">
        <v>606</v>
      </c>
      <c r="H234" s="76" t="s">
        <v>603</v>
      </c>
      <c r="I234" s="76"/>
      <c r="J234" s="81">
        <v>20</v>
      </c>
      <c r="K234" s="81">
        <v>1</v>
      </c>
      <c r="L234" s="82">
        <v>2011</v>
      </c>
      <c r="M234" s="76" t="s">
        <v>56</v>
      </c>
      <c r="N234" s="90" t="s">
        <v>604</v>
      </c>
      <c r="O234" s="76" t="s">
        <v>31</v>
      </c>
      <c r="P234" s="447">
        <v>51871.673999999999</v>
      </c>
      <c r="Q234" s="613"/>
      <c r="R234" s="613"/>
      <c r="S234" s="614">
        <v>3</v>
      </c>
      <c r="T234" s="5">
        <v>0</v>
      </c>
      <c r="U234" s="5">
        <v>51870.673999999992</v>
      </c>
      <c r="V234" s="5">
        <v>51870.673999999992</v>
      </c>
      <c r="W234" s="77">
        <f>+V234-U234</f>
        <v>0</v>
      </c>
      <c r="X234" s="77">
        <f t="shared" ref="X234:X270" si="29">P234-V234</f>
        <v>1.000000000007276</v>
      </c>
      <c r="Y234" s="80">
        <v>15086</v>
      </c>
      <c r="AB234" s="67">
        <f t="shared" si="28"/>
        <v>36</v>
      </c>
    </row>
    <row r="235" spans="1:28" s="33" customFormat="1" x14ac:dyDescent="0.25">
      <c r="A235" s="68"/>
      <c r="B235" s="68"/>
      <c r="C235" s="68"/>
      <c r="D235" s="579" t="s">
        <v>605</v>
      </c>
      <c r="E235" s="76" t="s">
        <v>472</v>
      </c>
      <c r="F235" s="80" t="s">
        <v>601</v>
      </c>
      <c r="G235" s="76" t="s">
        <v>607</v>
      </c>
      <c r="H235" s="76" t="s">
        <v>603</v>
      </c>
      <c r="I235" s="76"/>
      <c r="J235" s="81">
        <v>20</v>
      </c>
      <c r="K235" s="81">
        <v>1</v>
      </c>
      <c r="L235" s="82">
        <v>2011</v>
      </c>
      <c r="M235" s="76" t="s">
        <v>56</v>
      </c>
      <c r="N235" s="90" t="s">
        <v>604</v>
      </c>
      <c r="O235" s="76" t="s">
        <v>31</v>
      </c>
      <c r="P235" s="447">
        <v>51871.673999999999</v>
      </c>
      <c r="Q235" s="613"/>
      <c r="R235" s="613"/>
      <c r="S235" s="614">
        <v>3</v>
      </c>
      <c r="T235" s="5">
        <v>0</v>
      </c>
      <c r="U235" s="5">
        <v>51870.673999999992</v>
      </c>
      <c r="V235" s="5">
        <v>51870.673999999992</v>
      </c>
      <c r="W235" s="77">
        <f t="shared" ref="W235:W270" si="30">+V235-U235</f>
        <v>0</v>
      </c>
      <c r="X235" s="77">
        <f t="shared" si="29"/>
        <v>1.000000000007276</v>
      </c>
      <c r="Y235" s="80">
        <v>15086</v>
      </c>
      <c r="AB235" s="67">
        <f t="shared" si="28"/>
        <v>36</v>
      </c>
    </row>
    <row r="236" spans="1:28" s="33" customFormat="1" x14ac:dyDescent="0.25">
      <c r="A236" s="68"/>
      <c r="B236" s="68"/>
      <c r="C236" s="68"/>
      <c r="D236" s="579" t="s">
        <v>605</v>
      </c>
      <c r="E236" s="76" t="s">
        <v>472</v>
      </c>
      <c r="F236" s="80" t="s">
        <v>601</v>
      </c>
      <c r="G236" s="76" t="s">
        <v>608</v>
      </c>
      <c r="H236" s="76" t="s">
        <v>603</v>
      </c>
      <c r="I236" s="76"/>
      <c r="J236" s="81">
        <v>20</v>
      </c>
      <c r="K236" s="81">
        <v>1</v>
      </c>
      <c r="L236" s="82">
        <v>2011</v>
      </c>
      <c r="M236" s="76" t="s">
        <v>56</v>
      </c>
      <c r="N236" s="90" t="s">
        <v>604</v>
      </c>
      <c r="O236" s="76" t="s">
        <v>31</v>
      </c>
      <c r="P236" s="447">
        <v>51871.673999999999</v>
      </c>
      <c r="Q236" s="613"/>
      <c r="R236" s="613"/>
      <c r="S236" s="614">
        <v>3</v>
      </c>
      <c r="T236" s="5">
        <v>0</v>
      </c>
      <c r="U236" s="5">
        <v>51870.673999999992</v>
      </c>
      <c r="V236" s="5">
        <v>51870.673999999992</v>
      </c>
      <c r="W236" s="77">
        <f t="shared" si="30"/>
        <v>0</v>
      </c>
      <c r="X236" s="77">
        <f t="shared" si="29"/>
        <v>1.000000000007276</v>
      </c>
      <c r="Y236" s="80">
        <v>15086</v>
      </c>
      <c r="AB236" s="67">
        <f t="shared" si="28"/>
        <v>36</v>
      </c>
    </row>
    <row r="237" spans="1:28" s="33" customFormat="1" x14ac:dyDescent="0.25">
      <c r="A237" s="68"/>
      <c r="B237" s="68"/>
      <c r="C237" s="68"/>
      <c r="D237" s="579" t="s">
        <v>605</v>
      </c>
      <c r="E237" s="76" t="s">
        <v>472</v>
      </c>
      <c r="F237" s="80" t="s">
        <v>601</v>
      </c>
      <c r="G237" s="76" t="s">
        <v>609</v>
      </c>
      <c r="H237" s="76" t="s">
        <v>603</v>
      </c>
      <c r="I237" s="76"/>
      <c r="J237" s="81">
        <v>20</v>
      </c>
      <c r="K237" s="81">
        <v>1</v>
      </c>
      <c r="L237" s="82">
        <v>2011</v>
      </c>
      <c r="M237" s="76" t="s">
        <v>56</v>
      </c>
      <c r="N237" s="90" t="s">
        <v>604</v>
      </c>
      <c r="O237" s="76" t="s">
        <v>31</v>
      </c>
      <c r="P237" s="447">
        <v>51871.673999999999</v>
      </c>
      <c r="Q237" s="613"/>
      <c r="R237" s="613"/>
      <c r="S237" s="614">
        <v>3</v>
      </c>
      <c r="T237" s="5">
        <v>0</v>
      </c>
      <c r="U237" s="5">
        <v>51870.673999999992</v>
      </c>
      <c r="V237" s="5">
        <v>51870.673999999992</v>
      </c>
      <c r="W237" s="77">
        <f t="shared" si="30"/>
        <v>0</v>
      </c>
      <c r="X237" s="77">
        <f t="shared" si="29"/>
        <v>1.000000000007276</v>
      </c>
      <c r="Y237" s="80">
        <v>15086</v>
      </c>
      <c r="AB237" s="67">
        <f t="shared" si="28"/>
        <v>36</v>
      </c>
    </row>
    <row r="238" spans="1:28" s="33" customFormat="1" x14ac:dyDescent="0.25">
      <c r="A238" s="68"/>
      <c r="B238" s="68"/>
      <c r="C238" s="68"/>
      <c r="D238" s="579" t="s">
        <v>605</v>
      </c>
      <c r="E238" s="76" t="s">
        <v>472</v>
      </c>
      <c r="F238" s="80" t="s">
        <v>601</v>
      </c>
      <c r="G238" s="76" t="s">
        <v>610</v>
      </c>
      <c r="H238" s="76" t="s">
        <v>603</v>
      </c>
      <c r="I238" s="76"/>
      <c r="J238" s="81">
        <v>20</v>
      </c>
      <c r="K238" s="81">
        <v>1</v>
      </c>
      <c r="L238" s="82">
        <v>2011</v>
      </c>
      <c r="M238" s="76" t="s">
        <v>56</v>
      </c>
      <c r="N238" s="90" t="s">
        <v>604</v>
      </c>
      <c r="O238" s="76" t="s">
        <v>31</v>
      </c>
      <c r="P238" s="447">
        <v>51871.673999999999</v>
      </c>
      <c r="Q238" s="613"/>
      <c r="R238" s="613"/>
      <c r="S238" s="614">
        <v>3</v>
      </c>
      <c r="T238" s="5">
        <v>0</v>
      </c>
      <c r="U238" s="5">
        <v>51870.673999999992</v>
      </c>
      <c r="V238" s="5">
        <v>51870.673999999992</v>
      </c>
      <c r="W238" s="77">
        <f t="shared" si="30"/>
        <v>0</v>
      </c>
      <c r="X238" s="77">
        <f t="shared" si="29"/>
        <v>1.000000000007276</v>
      </c>
      <c r="Y238" s="80">
        <v>15086</v>
      </c>
      <c r="AB238" s="67">
        <f t="shared" si="28"/>
        <v>36</v>
      </c>
    </row>
    <row r="239" spans="1:28" s="33" customFormat="1" x14ac:dyDescent="0.25">
      <c r="A239" s="68"/>
      <c r="B239" s="68"/>
      <c r="C239" s="68"/>
      <c r="D239" s="579" t="s">
        <v>605</v>
      </c>
      <c r="E239" s="76" t="s">
        <v>472</v>
      </c>
      <c r="F239" s="80" t="s">
        <v>601</v>
      </c>
      <c r="G239" s="76" t="s">
        <v>611</v>
      </c>
      <c r="H239" s="76" t="s">
        <v>603</v>
      </c>
      <c r="I239" s="76"/>
      <c r="J239" s="81">
        <v>20</v>
      </c>
      <c r="K239" s="81">
        <v>1</v>
      </c>
      <c r="L239" s="82">
        <v>2011</v>
      </c>
      <c r="M239" s="76" t="s">
        <v>56</v>
      </c>
      <c r="N239" s="90" t="s">
        <v>604</v>
      </c>
      <c r="O239" s="76" t="s">
        <v>31</v>
      </c>
      <c r="P239" s="447">
        <v>51871.673999999999</v>
      </c>
      <c r="Q239" s="613"/>
      <c r="R239" s="613"/>
      <c r="S239" s="614">
        <v>3</v>
      </c>
      <c r="T239" s="5">
        <v>0</v>
      </c>
      <c r="U239" s="5">
        <v>51870.673999999992</v>
      </c>
      <c r="V239" s="5">
        <v>51870.673999999992</v>
      </c>
      <c r="W239" s="77">
        <f t="shared" si="30"/>
        <v>0</v>
      </c>
      <c r="X239" s="77">
        <f t="shared" si="29"/>
        <v>1.000000000007276</v>
      </c>
      <c r="Y239" s="80">
        <v>15086</v>
      </c>
      <c r="AB239" s="67">
        <f t="shared" si="28"/>
        <v>36</v>
      </c>
    </row>
    <row r="240" spans="1:28" s="33" customFormat="1" x14ac:dyDescent="0.25">
      <c r="A240" s="68"/>
      <c r="B240" s="68"/>
      <c r="C240" s="68"/>
      <c r="D240" s="579" t="s">
        <v>605</v>
      </c>
      <c r="E240" s="76" t="s">
        <v>472</v>
      </c>
      <c r="F240" s="80" t="s">
        <v>601</v>
      </c>
      <c r="G240" s="76" t="s">
        <v>612</v>
      </c>
      <c r="H240" s="76" t="s">
        <v>603</v>
      </c>
      <c r="I240" s="76"/>
      <c r="J240" s="81">
        <v>20</v>
      </c>
      <c r="K240" s="81">
        <v>1</v>
      </c>
      <c r="L240" s="82">
        <v>2011</v>
      </c>
      <c r="M240" s="76" t="s">
        <v>56</v>
      </c>
      <c r="N240" s="90" t="s">
        <v>604</v>
      </c>
      <c r="O240" s="76" t="s">
        <v>31</v>
      </c>
      <c r="P240" s="447">
        <v>51871.673999999999</v>
      </c>
      <c r="Q240" s="613"/>
      <c r="R240" s="613"/>
      <c r="S240" s="614">
        <v>3</v>
      </c>
      <c r="T240" s="5">
        <v>0</v>
      </c>
      <c r="U240" s="5">
        <v>51870.673999999992</v>
      </c>
      <c r="V240" s="5">
        <v>51870.673999999992</v>
      </c>
      <c r="W240" s="77">
        <f t="shared" si="30"/>
        <v>0</v>
      </c>
      <c r="X240" s="77">
        <f t="shared" si="29"/>
        <v>1.000000000007276</v>
      </c>
      <c r="Y240" s="80">
        <v>15086</v>
      </c>
      <c r="AB240" s="67">
        <f t="shared" si="28"/>
        <v>36</v>
      </c>
    </row>
    <row r="241" spans="1:28" s="33" customFormat="1" x14ac:dyDescent="0.25">
      <c r="A241" s="68"/>
      <c r="B241" s="68"/>
      <c r="C241" s="68"/>
      <c r="D241" s="579" t="s">
        <v>605</v>
      </c>
      <c r="E241" s="76" t="s">
        <v>472</v>
      </c>
      <c r="F241" s="80" t="s">
        <v>601</v>
      </c>
      <c r="G241" s="76" t="s">
        <v>613</v>
      </c>
      <c r="H241" s="76" t="s">
        <v>603</v>
      </c>
      <c r="I241" s="76"/>
      <c r="J241" s="81">
        <v>20</v>
      </c>
      <c r="K241" s="81">
        <v>1</v>
      </c>
      <c r="L241" s="82">
        <v>2011</v>
      </c>
      <c r="M241" s="76" t="s">
        <v>56</v>
      </c>
      <c r="N241" s="90" t="s">
        <v>604</v>
      </c>
      <c r="O241" s="76" t="s">
        <v>31</v>
      </c>
      <c r="P241" s="447">
        <v>51871.673999999999</v>
      </c>
      <c r="Q241" s="613"/>
      <c r="R241" s="613"/>
      <c r="S241" s="614">
        <v>3</v>
      </c>
      <c r="T241" s="5">
        <v>0</v>
      </c>
      <c r="U241" s="5">
        <v>51870.673999999992</v>
      </c>
      <c r="V241" s="5">
        <v>51870.673999999992</v>
      </c>
      <c r="W241" s="77">
        <f t="shared" si="30"/>
        <v>0</v>
      </c>
      <c r="X241" s="77">
        <f t="shared" si="29"/>
        <v>1.000000000007276</v>
      </c>
      <c r="Y241" s="80">
        <v>15086</v>
      </c>
      <c r="AB241" s="67">
        <f t="shared" si="28"/>
        <v>36</v>
      </c>
    </row>
    <row r="242" spans="1:28" s="33" customFormat="1" x14ac:dyDescent="0.25">
      <c r="A242" s="68"/>
      <c r="B242" s="68"/>
      <c r="C242" s="68"/>
      <c r="D242" s="579" t="s">
        <v>605</v>
      </c>
      <c r="E242" s="76" t="s">
        <v>472</v>
      </c>
      <c r="F242" s="80" t="s">
        <v>601</v>
      </c>
      <c r="G242" s="7" t="s">
        <v>614</v>
      </c>
      <c r="H242" s="76" t="s">
        <v>603</v>
      </c>
      <c r="I242" s="76"/>
      <c r="J242" s="81">
        <v>20</v>
      </c>
      <c r="K242" s="81">
        <v>1</v>
      </c>
      <c r="L242" s="82">
        <v>2011</v>
      </c>
      <c r="M242" s="76" t="s">
        <v>56</v>
      </c>
      <c r="N242" s="90" t="s">
        <v>604</v>
      </c>
      <c r="O242" s="76" t="s">
        <v>31</v>
      </c>
      <c r="P242" s="447">
        <v>51871.673999999999</v>
      </c>
      <c r="Q242" s="613"/>
      <c r="R242" s="613"/>
      <c r="S242" s="614">
        <v>3</v>
      </c>
      <c r="T242" s="5">
        <v>0</v>
      </c>
      <c r="U242" s="5">
        <v>51870.673999999992</v>
      </c>
      <c r="V242" s="5">
        <v>51870.673999999992</v>
      </c>
      <c r="W242" s="77">
        <f t="shared" si="30"/>
        <v>0</v>
      </c>
      <c r="X242" s="77">
        <f t="shared" si="29"/>
        <v>1.000000000007276</v>
      </c>
      <c r="Y242" s="80">
        <v>15086</v>
      </c>
      <c r="AB242" s="67">
        <f t="shared" si="28"/>
        <v>36</v>
      </c>
    </row>
    <row r="243" spans="1:28" s="33" customFormat="1" x14ac:dyDescent="0.25">
      <c r="A243" s="68"/>
      <c r="B243" s="68"/>
      <c r="C243" s="68"/>
      <c r="D243" s="79" t="s">
        <v>615</v>
      </c>
      <c r="E243" s="76" t="s">
        <v>28</v>
      </c>
      <c r="F243" s="80" t="s">
        <v>616</v>
      </c>
      <c r="G243" s="76" t="s">
        <v>617</v>
      </c>
      <c r="H243" s="76" t="s">
        <v>139</v>
      </c>
      <c r="I243" s="76"/>
      <c r="J243" s="81">
        <v>22</v>
      </c>
      <c r="K243" s="81">
        <v>2</v>
      </c>
      <c r="L243" s="82">
        <v>2011</v>
      </c>
      <c r="M243" s="76" t="s">
        <v>56</v>
      </c>
      <c r="N243" s="580" t="s">
        <v>618</v>
      </c>
      <c r="O243" s="76" t="s">
        <v>31</v>
      </c>
      <c r="P243" s="50">
        <v>6055</v>
      </c>
      <c r="Q243" s="613"/>
      <c r="R243" s="613"/>
      <c r="S243" s="614">
        <v>3</v>
      </c>
      <c r="T243" s="5">
        <v>0</v>
      </c>
      <c r="U243" s="5">
        <v>6054</v>
      </c>
      <c r="V243" s="5">
        <v>6054</v>
      </c>
      <c r="W243" s="77">
        <f t="shared" si="30"/>
        <v>0</v>
      </c>
      <c r="X243" s="77">
        <f t="shared" si="29"/>
        <v>1</v>
      </c>
      <c r="Y243" s="80">
        <v>15161</v>
      </c>
      <c r="AB243" s="67">
        <f t="shared" si="28"/>
        <v>36</v>
      </c>
    </row>
    <row r="244" spans="1:28" s="33" customFormat="1" x14ac:dyDescent="0.25">
      <c r="A244" s="68"/>
      <c r="B244" s="68"/>
      <c r="C244" s="68"/>
      <c r="D244" s="33" t="s">
        <v>619</v>
      </c>
      <c r="E244" s="76" t="s">
        <v>34</v>
      </c>
      <c r="F244" s="80" t="s">
        <v>620</v>
      </c>
      <c r="G244" s="76" t="s">
        <v>621</v>
      </c>
      <c r="H244" s="76" t="s">
        <v>139</v>
      </c>
      <c r="I244" s="76"/>
      <c r="J244" s="81">
        <v>28</v>
      </c>
      <c r="K244" s="81">
        <v>3</v>
      </c>
      <c r="L244" s="82">
        <v>2011</v>
      </c>
      <c r="M244" s="76" t="s">
        <v>56</v>
      </c>
      <c r="N244" s="90" t="s">
        <v>622</v>
      </c>
      <c r="O244" s="76" t="s">
        <v>31</v>
      </c>
      <c r="P244" s="50">
        <v>9630</v>
      </c>
      <c r="Q244" s="613"/>
      <c r="R244" s="613"/>
      <c r="S244" s="614">
        <v>3</v>
      </c>
      <c r="T244" s="5">
        <v>0</v>
      </c>
      <c r="U244" s="5">
        <v>9629</v>
      </c>
      <c r="V244" s="5">
        <v>9629</v>
      </c>
      <c r="W244" s="77">
        <f t="shared" si="30"/>
        <v>0</v>
      </c>
      <c r="X244" s="77">
        <f t="shared" si="29"/>
        <v>1</v>
      </c>
      <c r="Y244" s="80">
        <v>15440</v>
      </c>
      <c r="AB244" s="67">
        <f t="shared" si="28"/>
        <v>36</v>
      </c>
    </row>
    <row r="245" spans="1:28" s="33" customFormat="1" x14ac:dyDescent="0.25">
      <c r="A245" s="68"/>
      <c r="B245" s="68"/>
      <c r="C245" s="68"/>
      <c r="D245" s="79" t="s">
        <v>623</v>
      </c>
      <c r="E245" s="76" t="s">
        <v>561</v>
      </c>
      <c r="F245" s="80" t="s">
        <v>624</v>
      </c>
      <c r="G245" s="76"/>
      <c r="H245" s="76" t="s">
        <v>563</v>
      </c>
      <c r="I245" s="76"/>
      <c r="J245" s="81">
        <v>1</v>
      </c>
      <c r="K245" s="81">
        <v>4</v>
      </c>
      <c r="L245" s="82">
        <v>2011</v>
      </c>
      <c r="M245" s="76" t="s">
        <v>56</v>
      </c>
      <c r="N245" s="90" t="s">
        <v>625</v>
      </c>
      <c r="O245" s="76" t="s">
        <v>31</v>
      </c>
      <c r="P245" s="50">
        <v>3995</v>
      </c>
      <c r="Q245" s="613"/>
      <c r="R245" s="613"/>
      <c r="S245" s="614">
        <v>3</v>
      </c>
      <c r="T245" s="5">
        <v>0</v>
      </c>
      <c r="U245" s="5">
        <v>3994</v>
      </c>
      <c r="V245" s="5">
        <v>3994</v>
      </c>
      <c r="W245" s="77">
        <f t="shared" si="30"/>
        <v>0</v>
      </c>
      <c r="X245" s="77">
        <f t="shared" si="29"/>
        <v>1</v>
      </c>
      <c r="Y245" s="80">
        <v>15408</v>
      </c>
      <c r="AB245" s="67">
        <f t="shared" si="28"/>
        <v>36</v>
      </c>
    </row>
    <row r="246" spans="1:28" s="33" customFormat="1" x14ac:dyDescent="0.25">
      <c r="A246" s="68"/>
      <c r="B246" s="68"/>
      <c r="C246" s="68"/>
      <c r="D246" s="40" t="s">
        <v>626</v>
      </c>
      <c r="E246" s="76" t="s">
        <v>28</v>
      </c>
      <c r="F246" s="80" t="s">
        <v>627</v>
      </c>
      <c r="G246" s="522" t="s">
        <v>628</v>
      </c>
      <c r="H246" s="76" t="s">
        <v>246</v>
      </c>
      <c r="I246" s="76"/>
      <c r="J246" s="81">
        <v>1</v>
      </c>
      <c r="K246" s="81">
        <v>4</v>
      </c>
      <c r="L246" s="82">
        <v>2011</v>
      </c>
      <c r="M246" s="76" t="s">
        <v>56</v>
      </c>
      <c r="N246" s="90" t="s">
        <v>629</v>
      </c>
      <c r="O246" s="76" t="s">
        <v>31</v>
      </c>
      <c r="P246" s="50">
        <v>38865.800000000003</v>
      </c>
      <c r="Q246" s="613"/>
      <c r="R246" s="613"/>
      <c r="S246" s="614">
        <v>3</v>
      </c>
      <c r="T246" s="5">
        <v>0</v>
      </c>
      <c r="U246" s="5">
        <v>38864.800000000003</v>
      </c>
      <c r="V246" s="5">
        <v>38864.800000000003</v>
      </c>
      <c r="W246" s="77">
        <f t="shared" si="30"/>
        <v>0</v>
      </c>
      <c r="X246" s="77">
        <f t="shared" si="29"/>
        <v>1</v>
      </c>
      <c r="Y246" s="80">
        <v>15498</v>
      </c>
      <c r="AB246" s="67">
        <f t="shared" si="28"/>
        <v>36</v>
      </c>
    </row>
    <row r="247" spans="1:28" s="33" customFormat="1" x14ac:dyDescent="0.25">
      <c r="A247" s="68"/>
      <c r="B247" s="68"/>
      <c r="C247" s="68"/>
      <c r="D247" s="79" t="s">
        <v>630</v>
      </c>
      <c r="E247" s="76" t="s">
        <v>631</v>
      </c>
      <c r="F247" s="80"/>
      <c r="G247" s="76"/>
      <c r="H247" s="76" t="s">
        <v>632</v>
      </c>
      <c r="I247" s="76"/>
      <c r="J247" s="81">
        <v>1</v>
      </c>
      <c r="K247" s="81">
        <v>4</v>
      </c>
      <c r="L247" s="82">
        <v>2011</v>
      </c>
      <c r="M247" s="76" t="s">
        <v>56</v>
      </c>
      <c r="N247" s="90" t="s">
        <v>633</v>
      </c>
      <c r="O247" s="76" t="s">
        <v>31</v>
      </c>
      <c r="P247" s="50">
        <v>9216.2000000000007</v>
      </c>
      <c r="Q247" s="613"/>
      <c r="R247" s="613"/>
      <c r="S247" s="614">
        <v>3</v>
      </c>
      <c r="T247" s="5">
        <v>0</v>
      </c>
      <c r="U247" s="5">
        <v>9215.2000000000007</v>
      </c>
      <c r="V247" s="5">
        <v>9215.2000000000007</v>
      </c>
      <c r="W247" s="77">
        <f t="shared" si="30"/>
        <v>0</v>
      </c>
      <c r="X247" s="77">
        <f t="shared" si="29"/>
        <v>1</v>
      </c>
      <c r="Y247" s="80">
        <v>15499</v>
      </c>
      <c r="AB247" s="67">
        <f t="shared" si="28"/>
        <v>36</v>
      </c>
    </row>
    <row r="248" spans="1:28" s="33" customFormat="1" x14ac:dyDescent="0.25">
      <c r="A248" s="68"/>
      <c r="B248" s="68"/>
      <c r="C248" s="68"/>
      <c r="D248" s="51" t="s">
        <v>634</v>
      </c>
      <c r="E248" s="76" t="s">
        <v>635</v>
      </c>
      <c r="F248" s="80" t="s">
        <v>636</v>
      </c>
      <c r="G248" s="76"/>
      <c r="H248" s="76" t="s">
        <v>637</v>
      </c>
      <c r="I248" s="76"/>
      <c r="J248" s="81">
        <v>15</v>
      </c>
      <c r="K248" s="81">
        <v>4</v>
      </c>
      <c r="L248" s="82">
        <v>2011</v>
      </c>
      <c r="M248" s="76" t="s">
        <v>56</v>
      </c>
      <c r="N248" s="90" t="s">
        <v>638</v>
      </c>
      <c r="O248" s="76" t="s">
        <v>31</v>
      </c>
      <c r="P248" s="50">
        <v>87115.66</v>
      </c>
      <c r="Q248" s="613"/>
      <c r="R248" s="613"/>
      <c r="S248" s="614">
        <v>3</v>
      </c>
      <c r="T248" s="5">
        <v>0</v>
      </c>
      <c r="U248" s="5">
        <v>87114.66</v>
      </c>
      <c r="V248" s="5">
        <v>87114.66</v>
      </c>
      <c r="W248" s="77">
        <f t="shared" si="30"/>
        <v>0</v>
      </c>
      <c r="X248" s="77">
        <f t="shared" si="29"/>
        <v>1</v>
      </c>
      <c r="Y248" s="80">
        <v>15422</v>
      </c>
      <c r="AB248" s="67">
        <f t="shared" si="28"/>
        <v>36</v>
      </c>
    </row>
    <row r="249" spans="1:28" s="33" customFormat="1" x14ac:dyDescent="0.25">
      <c r="A249" s="68"/>
      <c r="B249" s="68"/>
      <c r="C249" s="68"/>
      <c r="D249" s="79" t="s">
        <v>639</v>
      </c>
      <c r="E249" s="76" t="s">
        <v>28</v>
      </c>
      <c r="F249" s="80" t="s">
        <v>640</v>
      </c>
      <c r="G249" s="76" t="s">
        <v>641</v>
      </c>
      <c r="H249" s="76" t="s">
        <v>632</v>
      </c>
      <c r="I249" s="76"/>
      <c r="J249" s="81">
        <v>10</v>
      </c>
      <c r="K249" s="81">
        <v>5</v>
      </c>
      <c r="L249" s="82">
        <v>2011</v>
      </c>
      <c r="M249" s="76" t="s">
        <v>56</v>
      </c>
      <c r="N249" s="90" t="s">
        <v>642</v>
      </c>
      <c r="O249" s="76" t="s">
        <v>31</v>
      </c>
      <c r="P249" s="50">
        <v>6084.2</v>
      </c>
      <c r="Q249" s="613"/>
      <c r="R249" s="613"/>
      <c r="S249" s="614">
        <v>3</v>
      </c>
      <c r="T249" s="5">
        <v>0</v>
      </c>
      <c r="U249" s="5">
        <v>6083.2000000000007</v>
      </c>
      <c r="V249" s="5">
        <v>6083.2000000000007</v>
      </c>
      <c r="W249" s="77">
        <f t="shared" si="30"/>
        <v>0</v>
      </c>
      <c r="X249" s="77">
        <f t="shared" si="29"/>
        <v>0.99999999999909051</v>
      </c>
      <c r="Y249" s="80">
        <v>15551</v>
      </c>
      <c r="AB249" s="67">
        <f t="shared" si="28"/>
        <v>36</v>
      </c>
    </row>
    <row r="250" spans="1:28" s="33" customFormat="1" x14ac:dyDescent="0.25">
      <c r="A250" s="68"/>
      <c r="B250" s="68"/>
      <c r="C250" s="68"/>
      <c r="D250" s="79" t="s">
        <v>639</v>
      </c>
      <c r="E250" s="76" t="s">
        <v>28</v>
      </c>
      <c r="F250" s="80" t="s">
        <v>640</v>
      </c>
      <c r="G250" s="76" t="s">
        <v>643</v>
      </c>
      <c r="H250" s="76" t="s">
        <v>632</v>
      </c>
      <c r="I250" s="76"/>
      <c r="J250" s="81">
        <v>10</v>
      </c>
      <c r="K250" s="81">
        <v>5</v>
      </c>
      <c r="L250" s="82">
        <v>2011</v>
      </c>
      <c r="M250" s="76" t="s">
        <v>56</v>
      </c>
      <c r="N250" s="90" t="s">
        <v>642</v>
      </c>
      <c r="O250" s="76" t="s">
        <v>31</v>
      </c>
      <c r="P250" s="50">
        <v>6084.2</v>
      </c>
      <c r="Q250" s="613"/>
      <c r="R250" s="613"/>
      <c r="S250" s="614">
        <v>3</v>
      </c>
      <c r="T250" s="5">
        <v>0</v>
      </c>
      <c r="U250" s="5">
        <v>6083.2000000000007</v>
      </c>
      <c r="V250" s="5">
        <v>6083.2000000000007</v>
      </c>
      <c r="W250" s="77">
        <f t="shared" si="30"/>
        <v>0</v>
      </c>
      <c r="X250" s="77">
        <f t="shared" si="29"/>
        <v>0.99999999999909051</v>
      </c>
      <c r="Y250" s="80">
        <v>15551</v>
      </c>
      <c r="AB250" s="67">
        <f t="shared" si="28"/>
        <v>36</v>
      </c>
    </row>
    <row r="251" spans="1:28" s="33" customFormat="1" x14ac:dyDescent="0.25">
      <c r="A251" s="68"/>
      <c r="B251" s="68"/>
      <c r="C251" s="68"/>
      <c r="D251" s="79" t="s">
        <v>639</v>
      </c>
      <c r="E251" s="76" t="s">
        <v>28</v>
      </c>
      <c r="F251" s="80" t="s">
        <v>640</v>
      </c>
      <c r="G251" s="76" t="s">
        <v>644</v>
      </c>
      <c r="H251" s="76" t="s">
        <v>632</v>
      </c>
      <c r="I251" s="76"/>
      <c r="J251" s="81">
        <v>10</v>
      </c>
      <c r="K251" s="81">
        <v>5</v>
      </c>
      <c r="L251" s="82">
        <v>2011</v>
      </c>
      <c r="M251" s="76" t="s">
        <v>56</v>
      </c>
      <c r="N251" s="90" t="s">
        <v>642</v>
      </c>
      <c r="O251" s="76" t="s">
        <v>31</v>
      </c>
      <c r="P251" s="50">
        <v>6084.2</v>
      </c>
      <c r="Q251" s="613"/>
      <c r="R251" s="613"/>
      <c r="S251" s="614">
        <v>3</v>
      </c>
      <c r="T251" s="5">
        <v>0</v>
      </c>
      <c r="U251" s="5">
        <v>6083.2000000000007</v>
      </c>
      <c r="V251" s="5">
        <v>6083.2000000000007</v>
      </c>
      <c r="W251" s="77">
        <f t="shared" si="30"/>
        <v>0</v>
      </c>
      <c r="X251" s="77">
        <f t="shared" si="29"/>
        <v>0.99999999999909051</v>
      </c>
      <c r="Y251" s="80">
        <v>15551</v>
      </c>
      <c r="AB251" s="67">
        <f t="shared" si="28"/>
        <v>36</v>
      </c>
    </row>
    <row r="252" spans="1:28" s="33" customFormat="1" x14ac:dyDescent="0.25">
      <c r="A252" s="68"/>
      <c r="B252" s="68"/>
      <c r="C252" s="68"/>
      <c r="D252" s="79" t="s">
        <v>639</v>
      </c>
      <c r="E252" s="76" t="s">
        <v>28</v>
      </c>
      <c r="F252" s="80" t="s">
        <v>640</v>
      </c>
      <c r="G252" s="76" t="s">
        <v>645</v>
      </c>
      <c r="H252" s="76" t="s">
        <v>632</v>
      </c>
      <c r="I252" s="76"/>
      <c r="J252" s="81">
        <v>10</v>
      </c>
      <c r="K252" s="81">
        <v>5</v>
      </c>
      <c r="L252" s="82">
        <v>2011</v>
      </c>
      <c r="M252" s="76" t="s">
        <v>56</v>
      </c>
      <c r="N252" s="90" t="s">
        <v>642</v>
      </c>
      <c r="O252" s="76" t="s">
        <v>31</v>
      </c>
      <c r="P252" s="50">
        <v>6084.2</v>
      </c>
      <c r="Q252" s="613"/>
      <c r="R252" s="613"/>
      <c r="S252" s="614">
        <v>3</v>
      </c>
      <c r="T252" s="5">
        <v>0</v>
      </c>
      <c r="U252" s="5">
        <v>6083.2000000000007</v>
      </c>
      <c r="V252" s="5">
        <v>6083.2000000000007</v>
      </c>
      <c r="W252" s="77">
        <f t="shared" si="30"/>
        <v>0</v>
      </c>
      <c r="X252" s="77">
        <f t="shared" si="29"/>
        <v>0.99999999999909051</v>
      </c>
      <c r="Y252" s="80">
        <v>15551</v>
      </c>
      <c r="AB252" s="67">
        <f t="shared" si="28"/>
        <v>36</v>
      </c>
    </row>
    <row r="253" spans="1:28" s="33" customFormat="1" x14ac:dyDescent="0.25">
      <c r="A253" s="68"/>
      <c r="B253" s="68"/>
      <c r="C253" s="68"/>
      <c r="D253" s="79" t="s">
        <v>639</v>
      </c>
      <c r="E253" s="76" t="s">
        <v>28</v>
      </c>
      <c r="F253" s="80" t="s">
        <v>640</v>
      </c>
      <c r="G253" s="76" t="s">
        <v>646</v>
      </c>
      <c r="H253" s="76" t="s">
        <v>632</v>
      </c>
      <c r="I253" s="76"/>
      <c r="J253" s="81">
        <v>10</v>
      </c>
      <c r="K253" s="81">
        <v>5</v>
      </c>
      <c r="L253" s="82">
        <v>2011</v>
      </c>
      <c r="M253" s="76" t="s">
        <v>56</v>
      </c>
      <c r="N253" s="90" t="s">
        <v>642</v>
      </c>
      <c r="O253" s="76" t="s">
        <v>31</v>
      </c>
      <c r="P253" s="50">
        <v>6084.2</v>
      </c>
      <c r="Q253" s="613"/>
      <c r="R253" s="613"/>
      <c r="S253" s="614">
        <v>3</v>
      </c>
      <c r="T253" s="5">
        <v>0</v>
      </c>
      <c r="U253" s="5">
        <v>6083.2000000000007</v>
      </c>
      <c r="V253" s="5">
        <v>6083.2000000000007</v>
      </c>
      <c r="W253" s="77">
        <f t="shared" si="30"/>
        <v>0</v>
      </c>
      <c r="X253" s="77">
        <f t="shared" si="29"/>
        <v>0.99999999999909051</v>
      </c>
      <c r="Y253" s="80">
        <v>15551</v>
      </c>
      <c r="AB253" s="67">
        <f t="shared" si="28"/>
        <v>36</v>
      </c>
    </row>
    <row r="254" spans="1:28" s="33" customFormat="1" x14ac:dyDescent="0.25">
      <c r="A254" s="68"/>
      <c r="B254" s="68"/>
      <c r="C254" s="68"/>
      <c r="D254" s="79" t="s">
        <v>639</v>
      </c>
      <c r="E254" s="76" t="s">
        <v>28</v>
      </c>
      <c r="F254" s="80" t="s">
        <v>640</v>
      </c>
      <c r="G254" s="76" t="s">
        <v>647</v>
      </c>
      <c r="H254" s="76" t="s">
        <v>632</v>
      </c>
      <c r="I254" s="76"/>
      <c r="J254" s="81">
        <v>10</v>
      </c>
      <c r="K254" s="81">
        <v>5</v>
      </c>
      <c r="L254" s="82">
        <v>2011</v>
      </c>
      <c r="M254" s="76" t="s">
        <v>56</v>
      </c>
      <c r="N254" s="90" t="s">
        <v>642</v>
      </c>
      <c r="O254" s="76" t="s">
        <v>31</v>
      </c>
      <c r="P254" s="50">
        <v>6084.2</v>
      </c>
      <c r="Q254" s="613"/>
      <c r="R254" s="613"/>
      <c r="S254" s="614">
        <v>3</v>
      </c>
      <c r="T254" s="5">
        <v>0</v>
      </c>
      <c r="U254" s="5">
        <v>6083.2000000000007</v>
      </c>
      <c r="V254" s="5">
        <v>6083.2000000000007</v>
      </c>
      <c r="W254" s="77">
        <f t="shared" si="30"/>
        <v>0</v>
      </c>
      <c r="X254" s="77">
        <f t="shared" si="29"/>
        <v>0.99999999999909051</v>
      </c>
      <c r="Y254" s="80">
        <v>15551</v>
      </c>
      <c r="AB254" s="67">
        <f t="shared" si="28"/>
        <v>36</v>
      </c>
    </row>
    <row r="255" spans="1:28" s="33" customFormat="1" x14ac:dyDescent="0.25">
      <c r="A255" s="68"/>
      <c r="B255" s="68"/>
      <c r="C255" s="68"/>
      <c r="D255" s="79" t="s">
        <v>639</v>
      </c>
      <c r="E255" s="76" t="s">
        <v>28</v>
      </c>
      <c r="F255" s="80" t="s">
        <v>640</v>
      </c>
      <c r="G255" s="76" t="s">
        <v>648</v>
      </c>
      <c r="H255" s="76" t="s">
        <v>632</v>
      </c>
      <c r="I255" s="76"/>
      <c r="J255" s="81">
        <v>10</v>
      </c>
      <c r="K255" s="81">
        <v>5</v>
      </c>
      <c r="L255" s="82">
        <v>2011</v>
      </c>
      <c r="M255" s="76" t="s">
        <v>56</v>
      </c>
      <c r="N255" s="90" t="s">
        <v>642</v>
      </c>
      <c r="O255" s="76" t="s">
        <v>31</v>
      </c>
      <c r="P255" s="50">
        <v>6084.2</v>
      </c>
      <c r="Q255" s="613"/>
      <c r="R255" s="613"/>
      <c r="S255" s="614">
        <v>3</v>
      </c>
      <c r="T255" s="5">
        <v>0</v>
      </c>
      <c r="U255" s="5">
        <v>6083.2000000000007</v>
      </c>
      <c r="V255" s="5">
        <v>6083.2000000000007</v>
      </c>
      <c r="W255" s="77">
        <f t="shared" si="30"/>
        <v>0</v>
      </c>
      <c r="X255" s="77">
        <f t="shared" si="29"/>
        <v>0.99999999999909051</v>
      </c>
      <c r="Y255" s="80">
        <v>15551</v>
      </c>
      <c r="AB255" s="67">
        <f t="shared" si="28"/>
        <v>36</v>
      </c>
    </row>
    <row r="256" spans="1:28" s="33" customFormat="1" x14ac:dyDescent="0.25">
      <c r="A256" s="68"/>
      <c r="B256" s="68"/>
      <c r="C256" s="68"/>
      <c r="D256" s="79" t="s">
        <v>639</v>
      </c>
      <c r="E256" s="76" t="s">
        <v>28</v>
      </c>
      <c r="F256" s="80" t="s">
        <v>640</v>
      </c>
      <c r="G256" s="76" t="s">
        <v>649</v>
      </c>
      <c r="H256" s="76" t="s">
        <v>632</v>
      </c>
      <c r="I256" s="76"/>
      <c r="J256" s="81">
        <v>10</v>
      </c>
      <c r="K256" s="81">
        <v>5</v>
      </c>
      <c r="L256" s="82">
        <v>2011</v>
      </c>
      <c r="M256" s="76" t="s">
        <v>56</v>
      </c>
      <c r="N256" s="90" t="s">
        <v>642</v>
      </c>
      <c r="O256" s="76" t="s">
        <v>31</v>
      </c>
      <c r="P256" s="50">
        <v>6084.2</v>
      </c>
      <c r="Q256" s="613"/>
      <c r="R256" s="613"/>
      <c r="S256" s="614">
        <v>3</v>
      </c>
      <c r="T256" s="5">
        <v>0</v>
      </c>
      <c r="U256" s="5">
        <v>6083.2000000000007</v>
      </c>
      <c r="V256" s="5">
        <v>6083.2000000000007</v>
      </c>
      <c r="W256" s="77">
        <f t="shared" si="30"/>
        <v>0</v>
      </c>
      <c r="X256" s="77">
        <f t="shared" si="29"/>
        <v>0.99999999999909051</v>
      </c>
      <c r="Y256" s="80">
        <v>15551</v>
      </c>
      <c r="AB256" s="67">
        <f t="shared" si="28"/>
        <v>36</v>
      </c>
    </row>
    <row r="257" spans="1:28" s="33" customFormat="1" x14ac:dyDescent="0.25">
      <c r="A257" s="68"/>
      <c r="B257" s="68"/>
      <c r="C257" s="68"/>
      <c r="D257" s="79" t="s">
        <v>639</v>
      </c>
      <c r="E257" s="76" t="s">
        <v>28</v>
      </c>
      <c r="F257" s="80" t="s">
        <v>640</v>
      </c>
      <c r="G257" s="76" t="s">
        <v>650</v>
      </c>
      <c r="H257" s="76" t="s">
        <v>632</v>
      </c>
      <c r="I257" s="76"/>
      <c r="J257" s="81">
        <v>10</v>
      </c>
      <c r="K257" s="81">
        <v>5</v>
      </c>
      <c r="L257" s="82">
        <v>2011</v>
      </c>
      <c r="M257" s="76" t="s">
        <v>56</v>
      </c>
      <c r="N257" s="90" t="s">
        <v>642</v>
      </c>
      <c r="O257" s="76" t="s">
        <v>31</v>
      </c>
      <c r="P257" s="50">
        <v>6084.2</v>
      </c>
      <c r="Q257" s="613"/>
      <c r="R257" s="613"/>
      <c r="S257" s="614">
        <v>3</v>
      </c>
      <c r="T257" s="5">
        <v>0</v>
      </c>
      <c r="U257" s="5">
        <v>6083.2000000000007</v>
      </c>
      <c r="V257" s="5">
        <v>6083.2000000000007</v>
      </c>
      <c r="W257" s="77">
        <f t="shared" si="30"/>
        <v>0</v>
      </c>
      <c r="X257" s="77">
        <f t="shared" si="29"/>
        <v>0.99999999999909051</v>
      </c>
      <c r="Y257" s="80">
        <v>15551</v>
      </c>
      <c r="AB257" s="67">
        <f t="shared" si="28"/>
        <v>36</v>
      </c>
    </row>
    <row r="258" spans="1:28" s="33" customFormat="1" x14ac:dyDescent="0.25">
      <c r="A258" s="68"/>
      <c r="B258" s="68"/>
      <c r="C258" s="68"/>
      <c r="D258" s="79" t="s">
        <v>639</v>
      </c>
      <c r="E258" s="76" t="s">
        <v>28</v>
      </c>
      <c r="F258" s="80" t="s">
        <v>640</v>
      </c>
      <c r="G258" s="76" t="s">
        <v>651</v>
      </c>
      <c r="H258" s="76" t="s">
        <v>632</v>
      </c>
      <c r="I258" s="76"/>
      <c r="J258" s="81">
        <v>10</v>
      </c>
      <c r="K258" s="81">
        <v>5</v>
      </c>
      <c r="L258" s="82">
        <v>2011</v>
      </c>
      <c r="M258" s="76" t="s">
        <v>56</v>
      </c>
      <c r="N258" s="90" t="s">
        <v>642</v>
      </c>
      <c r="O258" s="76" t="s">
        <v>31</v>
      </c>
      <c r="P258" s="50">
        <v>6084.2</v>
      </c>
      <c r="Q258" s="613"/>
      <c r="R258" s="613"/>
      <c r="S258" s="614">
        <v>3</v>
      </c>
      <c r="T258" s="5">
        <v>0</v>
      </c>
      <c r="U258" s="5">
        <v>6083.2000000000007</v>
      </c>
      <c r="V258" s="5">
        <v>6083.2000000000007</v>
      </c>
      <c r="W258" s="77">
        <f t="shared" si="30"/>
        <v>0</v>
      </c>
      <c r="X258" s="77">
        <f t="shared" si="29"/>
        <v>0.99999999999909051</v>
      </c>
      <c r="Y258" s="80">
        <v>15551</v>
      </c>
      <c r="AB258" s="67">
        <f t="shared" si="28"/>
        <v>36</v>
      </c>
    </row>
    <row r="259" spans="1:28" s="33" customFormat="1" x14ac:dyDescent="0.25">
      <c r="A259" s="68"/>
      <c r="B259" s="68"/>
      <c r="C259" s="68"/>
      <c r="D259" s="79" t="s">
        <v>639</v>
      </c>
      <c r="E259" s="76" t="s">
        <v>28</v>
      </c>
      <c r="F259" s="80" t="s">
        <v>640</v>
      </c>
      <c r="G259" s="76" t="s">
        <v>652</v>
      </c>
      <c r="H259" s="76" t="s">
        <v>632</v>
      </c>
      <c r="I259" s="76"/>
      <c r="J259" s="81">
        <v>10</v>
      </c>
      <c r="K259" s="81">
        <v>5</v>
      </c>
      <c r="L259" s="82">
        <v>2011</v>
      </c>
      <c r="M259" s="76" t="s">
        <v>56</v>
      </c>
      <c r="N259" s="90" t="s">
        <v>642</v>
      </c>
      <c r="O259" s="76" t="s">
        <v>31</v>
      </c>
      <c r="P259" s="50">
        <v>6084.2</v>
      </c>
      <c r="Q259" s="613"/>
      <c r="R259" s="613"/>
      <c r="S259" s="614">
        <v>3</v>
      </c>
      <c r="T259" s="5">
        <v>0</v>
      </c>
      <c r="U259" s="5">
        <v>6083.2000000000007</v>
      </c>
      <c r="V259" s="5">
        <v>6083.2000000000007</v>
      </c>
      <c r="W259" s="77">
        <f t="shared" si="30"/>
        <v>0</v>
      </c>
      <c r="X259" s="77">
        <f t="shared" si="29"/>
        <v>0.99999999999909051</v>
      </c>
      <c r="Y259" s="80">
        <v>15551</v>
      </c>
      <c r="AB259" s="67">
        <f t="shared" si="28"/>
        <v>36</v>
      </c>
    </row>
    <row r="260" spans="1:28" s="33" customFormat="1" x14ac:dyDescent="0.25">
      <c r="A260" s="68"/>
      <c r="B260" s="68"/>
      <c r="C260" s="68"/>
      <c r="D260" s="79" t="s">
        <v>639</v>
      </c>
      <c r="E260" s="76" t="s">
        <v>28</v>
      </c>
      <c r="F260" s="80" t="s">
        <v>640</v>
      </c>
      <c r="G260" s="76" t="s">
        <v>653</v>
      </c>
      <c r="H260" s="76" t="s">
        <v>632</v>
      </c>
      <c r="I260" s="76"/>
      <c r="J260" s="81">
        <v>10</v>
      </c>
      <c r="K260" s="81">
        <v>5</v>
      </c>
      <c r="L260" s="82">
        <v>2011</v>
      </c>
      <c r="M260" s="76" t="s">
        <v>56</v>
      </c>
      <c r="N260" s="90" t="s">
        <v>642</v>
      </c>
      <c r="O260" s="76" t="s">
        <v>31</v>
      </c>
      <c r="P260" s="50">
        <v>6084.201</v>
      </c>
      <c r="Q260" s="613"/>
      <c r="R260" s="613"/>
      <c r="S260" s="614">
        <v>3</v>
      </c>
      <c r="T260" s="5">
        <v>0</v>
      </c>
      <c r="U260" s="5">
        <v>6083.201</v>
      </c>
      <c r="V260" s="5">
        <v>6083.201</v>
      </c>
      <c r="W260" s="77">
        <f t="shared" si="30"/>
        <v>0</v>
      </c>
      <c r="X260" s="77">
        <f t="shared" si="29"/>
        <v>1</v>
      </c>
      <c r="Y260" s="80">
        <v>15551</v>
      </c>
      <c r="AB260" s="67">
        <f t="shared" si="28"/>
        <v>36</v>
      </c>
    </row>
    <row r="261" spans="1:28" s="33" customFormat="1" x14ac:dyDescent="0.25">
      <c r="A261" s="68"/>
      <c r="B261" s="68"/>
      <c r="C261" s="68"/>
      <c r="D261" s="79" t="s">
        <v>639</v>
      </c>
      <c r="E261" s="76" t="s">
        <v>28</v>
      </c>
      <c r="F261" s="80" t="s">
        <v>640</v>
      </c>
      <c r="G261" s="76" t="s">
        <v>654</v>
      </c>
      <c r="H261" s="76" t="s">
        <v>632</v>
      </c>
      <c r="I261" s="76"/>
      <c r="J261" s="81">
        <v>10</v>
      </c>
      <c r="K261" s="81">
        <v>5</v>
      </c>
      <c r="L261" s="82">
        <v>2011</v>
      </c>
      <c r="M261" s="76" t="s">
        <v>56</v>
      </c>
      <c r="N261" s="90" t="s">
        <v>642</v>
      </c>
      <c r="O261" s="76" t="s">
        <v>31</v>
      </c>
      <c r="P261" s="50">
        <v>6084.201</v>
      </c>
      <c r="Q261" s="613"/>
      <c r="R261" s="613"/>
      <c r="S261" s="614">
        <v>3</v>
      </c>
      <c r="T261" s="5">
        <v>0</v>
      </c>
      <c r="U261" s="5">
        <v>6083.201</v>
      </c>
      <c r="V261" s="5">
        <v>6083.201</v>
      </c>
      <c r="W261" s="77">
        <f t="shared" si="30"/>
        <v>0</v>
      </c>
      <c r="X261" s="77">
        <f t="shared" si="29"/>
        <v>1</v>
      </c>
      <c r="Y261" s="80">
        <v>15551</v>
      </c>
      <c r="AB261" s="67">
        <f t="shared" si="28"/>
        <v>36</v>
      </c>
    </row>
    <row r="262" spans="1:28" s="33" customFormat="1" x14ac:dyDescent="0.25">
      <c r="A262" s="68"/>
      <c r="B262" s="68"/>
      <c r="C262" s="68"/>
      <c r="D262" s="79" t="s">
        <v>639</v>
      </c>
      <c r="E262" s="76" t="s">
        <v>28</v>
      </c>
      <c r="F262" s="80" t="s">
        <v>640</v>
      </c>
      <c r="G262" s="76" t="s">
        <v>655</v>
      </c>
      <c r="H262" s="76" t="s">
        <v>632</v>
      </c>
      <c r="I262" s="76"/>
      <c r="J262" s="81">
        <v>10</v>
      </c>
      <c r="K262" s="81">
        <v>5</v>
      </c>
      <c r="L262" s="82">
        <v>2011</v>
      </c>
      <c r="M262" s="76" t="s">
        <v>56</v>
      </c>
      <c r="N262" s="90" t="s">
        <v>642</v>
      </c>
      <c r="O262" s="76" t="s">
        <v>31</v>
      </c>
      <c r="P262" s="50">
        <v>6084.201</v>
      </c>
      <c r="Q262" s="613"/>
      <c r="R262" s="613"/>
      <c r="S262" s="614">
        <v>3</v>
      </c>
      <c r="T262" s="5">
        <v>0</v>
      </c>
      <c r="U262" s="5">
        <v>6083.201</v>
      </c>
      <c r="V262" s="5">
        <v>6083.201</v>
      </c>
      <c r="W262" s="77">
        <f t="shared" si="30"/>
        <v>0</v>
      </c>
      <c r="X262" s="77">
        <f t="shared" si="29"/>
        <v>1</v>
      </c>
      <c r="Y262" s="80">
        <v>15551</v>
      </c>
      <c r="AB262" s="67">
        <f t="shared" si="28"/>
        <v>36</v>
      </c>
    </row>
    <row r="263" spans="1:28" s="33" customFormat="1" x14ac:dyDescent="0.25">
      <c r="A263" s="68"/>
      <c r="B263" s="68"/>
      <c r="C263" s="68"/>
      <c r="D263" s="79" t="s">
        <v>639</v>
      </c>
      <c r="E263" s="76" t="s">
        <v>28</v>
      </c>
      <c r="F263" s="80" t="s">
        <v>640</v>
      </c>
      <c r="G263" s="76" t="s">
        <v>656</v>
      </c>
      <c r="H263" s="76" t="s">
        <v>632</v>
      </c>
      <c r="I263" s="76"/>
      <c r="J263" s="81">
        <v>10</v>
      </c>
      <c r="K263" s="81">
        <v>5</v>
      </c>
      <c r="L263" s="82">
        <v>2011</v>
      </c>
      <c r="M263" s="76" t="s">
        <v>56</v>
      </c>
      <c r="N263" s="90" t="s">
        <v>642</v>
      </c>
      <c r="O263" s="76" t="s">
        <v>31</v>
      </c>
      <c r="P263" s="50">
        <v>6084.201</v>
      </c>
      <c r="Q263" s="613"/>
      <c r="R263" s="613"/>
      <c r="S263" s="614">
        <v>3</v>
      </c>
      <c r="T263" s="5">
        <v>0</v>
      </c>
      <c r="U263" s="5">
        <v>6083.201</v>
      </c>
      <c r="V263" s="5">
        <v>6083.201</v>
      </c>
      <c r="W263" s="77">
        <f t="shared" si="30"/>
        <v>0</v>
      </c>
      <c r="X263" s="77">
        <f t="shared" si="29"/>
        <v>1</v>
      </c>
      <c r="Y263" s="80">
        <v>15551</v>
      </c>
      <c r="AB263" s="67">
        <f t="shared" si="28"/>
        <v>36</v>
      </c>
    </row>
    <row r="264" spans="1:28" s="33" customFormat="1" x14ac:dyDescent="0.25">
      <c r="A264" s="68"/>
      <c r="B264" s="68"/>
      <c r="C264" s="68"/>
      <c r="D264" s="79" t="s">
        <v>657</v>
      </c>
      <c r="E264" s="76" t="s">
        <v>658</v>
      </c>
      <c r="F264" s="80" t="s">
        <v>659</v>
      </c>
      <c r="G264" s="76" t="s">
        <v>660</v>
      </c>
      <c r="H264" s="76" t="s">
        <v>632</v>
      </c>
      <c r="I264" s="76"/>
      <c r="J264" s="81">
        <v>10</v>
      </c>
      <c r="K264" s="81">
        <v>5</v>
      </c>
      <c r="L264" s="82">
        <v>2011</v>
      </c>
      <c r="M264" s="76" t="s">
        <v>56</v>
      </c>
      <c r="N264" s="90" t="s">
        <v>642</v>
      </c>
      <c r="O264" s="76" t="s">
        <v>31</v>
      </c>
      <c r="P264" s="50">
        <v>17552.2</v>
      </c>
      <c r="Q264" s="613"/>
      <c r="R264" s="613"/>
      <c r="S264" s="614">
        <v>3</v>
      </c>
      <c r="T264" s="5">
        <v>0</v>
      </c>
      <c r="U264" s="5">
        <v>17551.2</v>
      </c>
      <c r="V264" s="5">
        <v>17551.2</v>
      </c>
      <c r="W264" s="77">
        <f>+V264-U264</f>
        <v>0</v>
      </c>
      <c r="X264" s="77">
        <f t="shared" si="29"/>
        <v>1</v>
      </c>
      <c r="Y264" s="80">
        <v>15551</v>
      </c>
      <c r="AB264" s="67">
        <f t="shared" si="28"/>
        <v>36</v>
      </c>
    </row>
    <row r="265" spans="1:28" s="33" customFormat="1" x14ac:dyDescent="0.25">
      <c r="A265" s="68"/>
      <c r="B265" s="68"/>
      <c r="C265" s="68"/>
      <c r="D265" s="79" t="s">
        <v>661</v>
      </c>
      <c r="E265" s="76" t="s">
        <v>662</v>
      </c>
      <c r="F265" s="80" t="s">
        <v>663</v>
      </c>
      <c r="G265" s="76"/>
      <c r="H265" s="76" t="s">
        <v>632</v>
      </c>
      <c r="I265" s="76"/>
      <c r="J265" s="81">
        <v>10</v>
      </c>
      <c r="K265" s="81">
        <v>5</v>
      </c>
      <c r="L265" s="82">
        <v>2011</v>
      </c>
      <c r="M265" s="76" t="s">
        <v>56</v>
      </c>
      <c r="N265" s="90" t="s">
        <v>642</v>
      </c>
      <c r="O265" s="76" t="s">
        <v>31</v>
      </c>
      <c r="P265" s="50">
        <v>67099.02</v>
      </c>
      <c r="Q265" s="613"/>
      <c r="R265" s="613"/>
      <c r="S265" s="614">
        <v>3</v>
      </c>
      <c r="T265" s="5">
        <v>0</v>
      </c>
      <c r="U265" s="5">
        <v>67098.02</v>
      </c>
      <c r="V265" s="5">
        <v>67098.02</v>
      </c>
      <c r="W265" s="77">
        <f t="shared" si="30"/>
        <v>0</v>
      </c>
      <c r="X265" s="77">
        <f t="shared" si="29"/>
        <v>1</v>
      </c>
      <c r="Y265" s="80">
        <v>15551</v>
      </c>
      <c r="AB265" s="67">
        <f t="shared" si="28"/>
        <v>36</v>
      </c>
    </row>
    <row r="266" spans="1:28" s="33" customFormat="1" x14ac:dyDescent="0.25">
      <c r="A266" s="68"/>
      <c r="B266" s="68"/>
      <c r="C266" s="68"/>
      <c r="D266" s="79" t="s">
        <v>664</v>
      </c>
      <c r="E266" s="76" t="s">
        <v>561</v>
      </c>
      <c r="F266" s="80" t="s">
        <v>624</v>
      </c>
      <c r="G266" s="76"/>
      <c r="H266" s="76" t="s">
        <v>563</v>
      </c>
      <c r="I266" s="76"/>
      <c r="J266" s="81">
        <v>20</v>
      </c>
      <c r="K266" s="81">
        <v>7</v>
      </c>
      <c r="L266" s="82">
        <v>2011</v>
      </c>
      <c r="M266" s="76" t="s">
        <v>56</v>
      </c>
      <c r="N266" s="80" t="s">
        <v>665</v>
      </c>
      <c r="O266" s="76"/>
      <c r="P266" s="50">
        <v>5995</v>
      </c>
      <c r="Q266" s="613"/>
      <c r="R266" s="613"/>
      <c r="S266" s="614">
        <v>3</v>
      </c>
      <c r="T266" s="5">
        <v>0</v>
      </c>
      <c r="U266" s="5">
        <v>5994</v>
      </c>
      <c r="V266" s="5">
        <v>5994</v>
      </c>
      <c r="W266" s="77">
        <f t="shared" si="30"/>
        <v>0</v>
      </c>
      <c r="X266" s="77">
        <f t="shared" si="29"/>
        <v>1</v>
      </c>
      <c r="Y266" s="80">
        <v>15922</v>
      </c>
      <c r="AB266" s="67">
        <f t="shared" si="28"/>
        <v>36</v>
      </c>
    </row>
    <row r="267" spans="1:28" s="33" customFormat="1" x14ac:dyDescent="0.25">
      <c r="A267" s="68"/>
      <c r="B267" s="68"/>
      <c r="C267" s="68"/>
      <c r="D267" s="581" t="s">
        <v>666</v>
      </c>
      <c r="E267" s="76" t="s">
        <v>28</v>
      </c>
      <c r="F267" s="80" t="s">
        <v>616</v>
      </c>
      <c r="G267" s="582" t="s">
        <v>667</v>
      </c>
      <c r="H267" s="76" t="s">
        <v>246</v>
      </c>
      <c r="I267" s="76"/>
      <c r="J267" s="81">
        <v>6</v>
      </c>
      <c r="K267" s="81">
        <v>9</v>
      </c>
      <c r="L267" s="82">
        <v>2011</v>
      </c>
      <c r="M267" s="76" t="s">
        <v>56</v>
      </c>
      <c r="N267" s="583" t="s">
        <v>668</v>
      </c>
      <c r="O267" s="76" t="s">
        <v>31</v>
      </c>
      <c r="P267" s="50">
        <v>4704.96</v>
      </c>
      <c r="Q267" s="613"/>
      <c r="R267" s="613"/>
      <c r="S267" s="614">
        <v>3</v>
      </c>
      <c r="T267" s="5">
        <v>0</v>
      </c>
      <c r="U267" s="5">
        <v>4703.96</v>
      </c>
      <c r="V267" s="5">
        <v>4703.96</v>
      </c>
      <c r="W267" s="77">
        <f t="shared" si="30"/>
        <v>0</v>
      </c>
      <c r="X267" s="77">
        <f t="shared" si="29"/>
        <v>1</v>
      </c>
      <c r="Y267" s="80">
        <v>16051</v>
      </c>
      <c r="AB267" s="67">
        <f t="shared" si="28"/>
        <v>36</v>
      </c>
    </row>
    <row r="268" spans="1:28" s="33" customFormat="1" x14ac:dyDescent="0.25">
      <c r="A268" s="68"/>
      <c r="B268" s="68"/>
      <c r="C268" s="68"/>
      <c r="D268" s="581" t="s">
        <v>669</v>
      </c>
      <c r="E268" s="76" t="s">
        <v>670</v>
      </c>
      <c r="F268" s="80" t="s">
        <v>671</v>
      </c>
      <c r="G268" s="76" t="s">
        <v>672</v>
      </c>
      <c r="H268" s="76" t="s">
        <v>673</v>
      </c>
      <c r="I268" s="76"/>
      <c r="J268" s="81">
        <v>19</v>
      </c>
      <c r="K268" s="81">
        <v>9</v>
      </c>
      <c r="L268" s="82">
        <v>2011</v>
      </c>
      <c r="M268" s="76" t="s">
        <v>56</v>
      </c>
      <c r="N268" s="80" t="s">
        <v>674</v>
      </c>
      <c r="O268" s="76" t="s">
        <v>31</v>
      </c>
      <c r="P268" s="50">
        <v>53940</v>
      </c>
      <c r="Q268" s="613"/>
      <c r="R268" s="613"/>
      <c r="S268" s="614">
        <v>3</v>
      </c>
      <c r="T268" s="5">
        <v>0</v>
      </c>
      <c r="U268" s="5">
        <v>53939</v>
      </c>
      <c r="V268" s="5">
        <v>53939</v>
      </c>
      <c r="W268" s="77">
        <f t="shared" si="30"/>
        <v>0</v>
      </c>
      <c r="X268" s="77">
        <f t="shared" si="29"/>
        <v>1</v>
      </c>
      <c r="Y268" s="80">
        <v>16110</v>
      </c>
      <c r="AB268" s="67">
        <f t="shared" si="28"/>
        <v>36</v>
      </c>
    </row>
    <row r="269" spans="1:28" s="33" customFormat="1" x14ac:dyDescent="0.25">
      <c r="A269" s="68"/>
      <c r="B269" s="68"/>
      <c r="C269" s="68"/>
      <c r="D269" s="79" t="s">
        <v>675</v>
      </c>
      <c r="E269" s="76" t="s">
        <v>28</v>
      </c>
      <c r="F269" s="80" t="s">
        <v>676</v>
      </c>
      <c r="G269" s="76" t="s">
        <v>677</v>
      </c>
      <c r="H269" s="76" t="s">
        <v>139</v>
      </c>
      <c r="I269" s="76"/>
      <c r="J269" s="81">
        <v>19</v>
      </c>
      <c r="K269" s="81">
        <v>10</v>
      </c>
      <c r="L269" s="82">
        <v>2011</v>
      </c>
      <c r="M269" s="76" t="s">
        <v>56</v>
      </c>
      <c r="N269" s="90" t="s">
        <v>678</v>
      </c>
      <c r="O269" s="76" t="s">
        <v>31</v>
      </c>
      <c r="P269" s="50">
        <v>18425</v>
      </c>
      <c r="Q269" s="613"/>
      <c r="R269" s="613"/>
      <c r="S269" s="614">
        <v>3</v>
      </c>
      <c r="T269" s="5">
        <v>0</v>
      </c>
      <c r="U269" s="5">
        <v>18424</v>
      </c>
      <c r="V269" s="5">
        <v>18424</v>
      </c>
      <c r="W269" s="77">
        <f t="shared" si="30"/>
        <v>0</v>
      </c>
      <c r="X269" s="77">
        <f t="shared" si="29"/>
        <v>1</v>
      </c>
      <c r="Y269" s="80">
        <v>16262</v>
      </c>
      <c r="AB269" s="67">
        <f t="shared" si="28"/>
        <v>36</v>
      </c>
    </row>
    <row r="270" spans="1:28" s="33" customFormat="1" x14ac:dyDescent="0.25">
      <c r="A270" s="68"/>
      <c r="B270" s="68"/>
      <c r="C270" s="68"/>
      <c r="D270" s="40" t="s">
        <v>679</v>
      </c>
      <c r="E270" s="76" t="s">
        <v>680</v>
      </c>
      <c r="F270" s="80" t="s">
        <v>681</v>
      </c>
      <c r="G270" s="76" t="s">
        <v>682</v>
      </c>
      <c r="H270" s="76" t="s">
        <v>632</v>
      </c>
      <c r="I270" s="76"/>
      <c r="J270" s="81">
        <v>20</v>
      </c>
      <c r="K270" s="81">
        <v>12</v>
      </c>
      <c r="L270" s="82">
        <v>2011</v>
      </c>
      <c r="M270" s="76" t="s">
        <v>56</v>
      </c>
      <c r="N270" s="90" t="s">
        <v>683</v>
      </c>
      <c r="O270" s="76" t="s">
        <v>31</v>
      </c>
      <c r="P270" s="50">
        <v>24296.2</v>
      </c>
      <c r="Q270" s="613"/>
      <c r="R270" s="613"/>
      <c r="S270" s="614">
        <v>3</v>
      </c>
      <c r="T270" s="5">
        <v>0</v>
      </c>
      <c r="U270" s="5">
        <v>24295.200000000001</v>
      </c>
      <c r="V270" s="5">
        <v>24295.200000000001</v>
      </c>
      <c r="W270" s="77">
        <f t="shared" si="30"/>
        <v>0</v>
      </c>
      <c r="X270" s="77">
        <f t="shared" si="29"/>
        <v>1</v>
      </c>
      <c r="Y270" s="80">
        <v>16533</v>
      </c>
      <c r="Z270" s="76"/>
      <c r="AB270" s="67">
        <f t="shared" si="28"/>
        <v>36</v>
      </c>
    </row>
    <row r="271" spans="1:28" s="33" customFormat="1" ht="16.5" thickBot="1" x14ac:dyDescent="0.3">
      <c r="A271" s="22" t="s">
        <v>684</v>
      </c>
      <c r="B271" s="68"/>
      <c r="C271" s="68"/>
      <c r="D271" s="79"/>
      <c r="E271" s="76"/>
      <c r="F271" s="80"/>
      <c r="G271" s="76"/>
      <c r="H271" s="76"/>
      <c r="I271" s="76"/>
      <c r="J271" s="81"/>
      <c r="K271" s="81"/>
      <c r="L271" s="82"/>
      <c r="M271" s="76"/>
      <c r="N271" s="80"/>
      <c r="O271" s="80"/>
      <c r="P271" s="584">
        <f>SUM(P233:P270)</f>
        <v>956869.7839999994</v>
      </c>
      <c r="Q271" s="585"/>
      <c r="R271" s="585"/>
      <c r="S271" s="615"/>
      <c r="T271" s="584">
        <f>SUM(T233:T270)</f>
        <v>0</v>
      </c>
      <c r="U271" s="584">
        <v>956831.7839999994</v>
      </c>
      <c r="V271" s="584">
        <f>SUM(V233:V270)</f>
        <v>956831.7839999994</v>
      </c>
      <c r="W271" s="584">
        <f>SUM(W233:W270)</f>
        <v>0</v>
      </c>
      <c r="X271" s="584">
        <f>SUM(X233:X270)</f>
        <v>38.000000000062755</v>
      </c>
      <c r="Y271" s="76"/>
      <c r="Z271" s="76"/>
    </row>
    <row r="272" spans="1:28" s="33" customFormat="1" ht="16.5" thickTop="1" x14ac:dyDescent="0.25">
      <c r="A272" s="68"/>
      <c r="B272" s="68"/>
      <c r="C272" s="68"/>
      <c r="D272" s="62"/>
      <c r="E272" s="40"/>
      <c r="F272" s="40"/>
      <c r="G272" s="40"/>
      <c r="H272" s="40"/>
      <c r="I272" s="40"/>
      <c r="J272" s="63"/>
      <c r="K272" s="63"/>
    </row>
    <row r="273" spans="1:28" s="33" customFormat="1" x14ac:dyDescent="0.25">
      <c r="A273" s="33" t="s">
        <v>685</v>
      </c>
      <c r="D273" s="62"/>
      <c r="E273" s="40"/>
      <c r="F273" s="40"/>
      <c r="G273" s="40"/>
      <c r="H273" s="40"/>
      <c r="I273" s="52"/>
      <c r="J273" s="63"/>
      <c r="K273" s="63"/>
      <c r="L273" s="64"/>
      <c r="M273" s="40"/>
      <c r="N273" s="40"/>
      <c r="O273" s="40"/>
      <c r="P273" s="247">
        <v>2294001</v>
      </c>
      <c r="S273" s="33">
        <v>3</v>
      </c>
      <c r="T273" s="30">
        <v>0</v>
      </c>
      <c r="U273" s="66">
        <v>2294000</v>
      </c>
      <c r="V273" s="66">
        <f>U273</f>
        <v>2294000</v>
      </c>
      <c r="W273" s="77">
        <v>0</v>
      </c>
      <c r="X273" s="77">
        <v>1</v>
      </c>
    </row>
    <row r="274" spans="1:28" s="33" customFormat="1" x14ac:dyDescent="0.25">
      <c r="A274" s="68"/>
      <c r="B274" s="68"/>
      <c r="C274" s="68"/>
      <c r="D274" s="62"/>
      <c r="E274" s="40"/>
      <c r="F274" s="40"/>
      <c r="G274" s="40"/>
      <c r="H274" s="40"/>
      <c r="I274" s="40"/>
      <c r="J274" s="63"/>
      <c r="K274" s="63"/>
    </row>
    <row r="275" spans="1:28" s="55" customFormat="1" x14ac:dyDescent="0.25">
      <c r="A275" s="22" t="s">
        <v>686</v>
      </c>
      <c r="B275" s="71"/>
      <c r="C275" s="71"/>
      <c r="D275" s="56"/>
      <c r="E275" s="57"/>
      <c r="F275" s="57"/>
      <c r="G275" s="57"/>
      <c r="H275" s="57"/>
      <c r="I275" s="57"/>
      <c r="J275" s="58"/>
      <c r="K275" s="58"/>
      <c r="L275" s="72"/>
      <c r="M275" s="57"/>
      <c r="N275" s="57"/>
      <c r="O275" s="57"/>
      <c r="P275" s="29">
        <f>+P231+P271+P273</f>
        <v>12402816.8182</v>
      </c>
      <c r="Q275" s="28"/>
      <c r="R275" s="28"/>
      <c r="S275" s="28"/>
      <c r="T275" s="29">
        <f>+T231+T271+T273</f>
        <v>0</v>
      </c>
      <c r="U275" s="29">
        <v>12418894.957088888</v>
      </c>
      <c r="V275" s="29">
        <f>+V231+V271+V273</f>
        <v>12418894.957088888</v>
      </c>
      <c r="W275" s="29">
        <f>+W231+W271+W273</f>
        <v>0</v>
      </c>
      <c r="X275" s="29">
        <f>+X231+X271+X273</f>
        <v>241.00000000016644</v>
      </c>
      <c r="Y275" s="29"/>
    </row>
    <row r="276" spans="1:28" s="33" customFormat="1" x14ac:dyDescent="0.25">
      <c r="A276" s="68"/>
      <c r="B276" s="68"/>
      <c r="C276" s="68"/>
      <c r="D276" s="62"/>
      <c r="E276" s="40"/>
      <c r="F276" s="40"/>
      <c r="G276" s="40"/>
      <c r="H276" s="40"/>
      <c r="I276" s="40"/>
      <c r="J276" s="63"/>
      <c r="K276" s="63"/>
    </row>
    <row r="277" spans="1:28" s="33" customFormat="1" x14ac:dyDescent="0.25">
      <c r="D277" s="33" t="s">
        <v>687</v>
      </c>
      <c r="E277" s="33" t="s">
        <v>688</v>
      </c>
      <c r="F277" s="33" t="s">
        <v>689</v>
      </c>
      <c r="G277" s="40" t="s">
        <v>690</v>
      </c>
      <c r="H277" s="40" t="s">
        <v>691</v>
      </c>
      <c r="I277" s="35">
        <v>41038</v>
      </c>
      <c r="J277" s="63">
        <v>9</v>
      </c>
      <c r="K277" s="63">
        <v>5</v>
      </c>
      <c r="L277" s="64">
        <v>2012</v>
      </c>
      <c r="M277" s="7" t="s">
        <v>56</v>
      </c>
      <c r="N277" s="40" t="s">
        <v>692</v>
      </c>
      <c r="O277" s="40" t="s">
        <v>31</v>
      </c>
      <c r="P277" s="85">
        <v>6344.0455590000001</v>
      </c>
      <c r="S277" s="33">
        <v>3</v>
      </c>
      <c r="T277" s="30">
        <f t="shared" ref="T277:T285" si="31">(((P277)-1)/3)/12*0</f>
        <v>0</v>
      </c>
      <c r="U277" s="5">
        <v>6343.0455589999992</v>
      </c>
      <c r="V277" s="5">
        <v>6343.0455589999992</v>
      </c>
      <c r="W277" s="77">
        <f>+V277-U277</f>
        <v>0</v>
      </c>
      <c r="X277" s="77">
        <f t="shared" ref="X277:X314" si="32">P277-V277</f>
        <v>1.0000000000009095</v>
      </c>
      <c r="AB277" s="67">
        <f t="shared" ref="AB277:AB314" si="33">IF((DATEDIF(I277,AB$4,"m"))&gt;=36,36,(DATEDIF(I277,AB$4,"m")))</f>
        <v>36</v>
      </c>
    </row>
    <row r="278" spans="1:28" s="33" customFormat="1" x14ac:dyDescent="0.25">
      <c r="D278" s="33" t="s">
        <v>687</v>
      </c>
      <c r="E278" s="33" t="s">
        <v>688</v>
      </c>
      <c r="F278" s="33" t="s">
        <v>689</v>
      </c>
      <c r="G278" s="40" t="s">
        <v>693</v>
      </c>
      <c r="H278" s="40" t="s">
        <v>691</v>
      </c>
      <c r="I278" s="35">
        <v>41038</v>
      </c>
      <c r="J278" s="63">
        <v>9</v>
      </c>
      <c r="K278" s="63">
        <v>5</v>
      </c>
      <c r="L278" s="64">
        <v>2012</v>
      </c>
      <c r="M278" s="7" t="s">
        <v>56</v>
      </c>
      <c r="N278" s="40" t="s">
        <v>692</v>
      </c>
      <c r="O278" s="40" t="s">
        <v>31</v>
      </c>
      <c r="P278" s="85">
        <v>6344.0455590000001</v>
      </c>
      <c r="S278" s="33">
        <v>3</v>
      </c>
      <c r="T278" s="30">
        <f t="shared" si="31"/>
        <v>0</v>
      </c>
      <c r="U278" s="5">
        <v>6343.0455589999992</v>
      </c>
      <c r="V278" s="5">
        <v>6343.0455589999992</v>
      </c>
      <c r="W278" s="77">
        <f t="shared" ref="W278:W314" si="34">+V278-U278</f>
        <v>0</v>
      </c>
      <c r="X278" s="77">
        <f t="shared" si="32"/>
        <v>1.0000000000009095</v>
      </c>
      <c r="AB278" s="67">
        <f t="shared" si="33"/>
        <v>36</v>
      </c>
    </row>
    <row r="279" spans="1:28" s="33" customFormat="1" x14ac:dyDescent="0.25">
      <c r="D279" s="33" t="s">
        <v>687</v>
      </c>
      <c r="E279" s="33" t="s">
        <v>688</v>
      </c>
      <c r="F279" s="33" t="s">
        <v>689</v>
      </c>
      <c r="G279" s="40" t="s">
        <v>694</v>
      </c>
      <c r="H279" s="40" t="s">
        <v>691</v>
      </c>
      <c r="I279" s="35">
        <v>41038</v>
      </c>
      <c r="J279" s="63">
        <v>9</v>
      </c>
      <c r="K279" s="63">
        <v>5</v>
      </c>
      <c r="L279" s="64">
        <v>2012</v>
      </c>
      <c r="M279" s="7" t="s">
        <v>56</v>
      </c>
      <c r="N279" s="40" t="s">
        <v>692</v>
      </c>
      <c r="O279" s="40" t="s">
        <v>31</v>
      </c>
      <c r="P279" s="85">
        <v>6344.0455590000001</v>
      </c>
      <c r="S279" s="33">
        <v>3</v>
      </c>
      <c r="T279" s="30">
        <f t="shared" si="31"/>
        <v>0</v>
      </c>
      <c r="U279" s="5">
        <v>6343.0455589999992</v>
      </c>
      <c r="V279" s="5">
        <v>6343.0455589999992</v>
      </c>
      <c r="W279" s="77">
        <f t="shared" si="34"/>
        <v>0</v>
      </c>
      <c r="X279" s="77">
        <f t="shared" si="32"/>
        <v>1.0000000000009095</v>
      </c>
      <c r="AB279" s="67">
        <f t="shared" si="33"/>
        <v>36</v>
      </c>
    </row>
    <row r="280" spans="1:28" s="33" customFormat="1" x14ac:dyDescent="0.25">
      <c r="D280" s="33" t="s">
        <v>687</v>
      </c>
      <c r="E280" s="33" t="s">
        <v>688</v>
      </c>
      <c r="F280" s="33" t="s">
        <v>689</v>
      </c>
      <c r="G280" s="40" t="s">
        <v>695</v>
      </c>
      <c r="H280" s="40" t="s">
        <v>691</v>
      </c>
      <c r="I280" s="35">
        <v>41038</v>
      </c>
      <c r="J280" s="63">
        <v>9</v>
      </c>
      <c r="K280" s="63">
        <v>5</v>
      </c>
      <c r="L280" s="64">
        <v>2012</v>
      </c>
      <c r="M280" s="7" t="s">
        <v>56</v>
      </c>
      <c r="N280" s="40" t="s">
        <v>692</v>
      </c>
      <c r="O280" s="40" t="s">
        <v>31</v>
      </c>
      <c r="P280" s="85">
        <v>6344.0455590000001</v>
      </c>
      <c r="S280" s="33">
        <v>3</v>
      </c>
      <c r="T280" s="30">
        <f t="shared" si="31"/>
        <v>0</v>
      </c>
      <c r="U280" s="5">
        <v>6343.0455589999992</v>
      </c>
      <c r="V280" s="5">
        <v>6343.0455589999992</v>
      </c>
      <c r="W280" s="77">
        <f t="shared" si="34"/>
        <v>0</v>
      </c>
      <c r="X280" s="77">
        <f t="shared" si="32"/>
        <v>1.0000000000009095</v>
      </c>
      <c r="AB280" s="67">
        <f t="shared" si="33"/>
        <v>36</v>
      </c>
    </row>
    <row r="281" spans="1:28" s="33" customFormat="1" x14ac:dyDescent="0.25">
      <c r="D281" s="33" t="s">
        <v>687</v>
      </c>
      <c r="E281" s="33" t="s">
        <v>688</v>
      </c>
      <c r="F281" s="33" t="s">
        <v>689</v>
      </c>
      <c r="G281" s="40" t="s">
        <v>696</v>
      </c>
      <c r="H281" s="40" t="s">
        <v>691</v>
      </c>
      <c r="I281" s="35">
        <v>41038</v>
      </c>
      <c r="J281" s="63">
        <v>9</v>
      </c>
      <c r="K281" s="63">
        <v>5</v>
      </c>
      <c r="L281" s="64">
        <v>2012</v>
      </c>
      <c r="M281" s="7" t="s">
        <v>56</v>
      </c>
      <c r="N281" s="40" t="s">
        <v>692</v>
      </c>
      <c r="O281" s="40" t="s">
        <v>31</v>
      </c>
      <c r="P281" s="85">
        <v>6344.0455590000001</v>
      </c>
      <c r="S281" s="33">
        <v>3</v>
      </c>
      <c r="T281" s="30">
        <f t="shared" si="31"/>
        <v>0</v>
      </c>
      <c r="U281" s="5">
        <v>6343.0455589999992</v>
      </c>
      <c r="V281" s="5">
        <v>6343.0455589999992</v>
      </c>
      <c r="W281" s="77">
        <f t="shared" si="34"/>
        <v>0</v>
      </c>
      <c r="X281" s="77">
        <f t="shared" si="32"/>
        <v>1.0000000000009095</v>
      </c>
      <c r="AB281" s="67">
        <f t="shared" si="33"/>
        <v>36</v>
      </c>
    </row>
    <row r="282" spans="1:28" s="33" customFormat="1" x14ac:dyDescent="0.25">
      <c r="D282" s="33" t="s">
        <v>687</v>
      </c>
      <c r="E282" s="33" t="s">
        <v>688</v>
      </c>
      <c r="F282" s="33" t="s">
        <v>689</v>
      </c>
      <c r="G282" s="40" t="s">
        <v>697</v>
      </c>
      <c r="H282" s="40" t="s">
        <v>691</v>
      </c>
      <c r="I282" s="35">
        <v>41038</v>
      </c>
      <c r="J282" s="63">
        <v>9</v>
      </c>
      <c r="K282" s="63">
        <v>5</v>
      </c>
      <c r="L282" s="64">
        <v>2012</v>
      </c>
      <c r="M282" s="7" t="s">
        <v>56</v>
      </c>
      <c r="N282" s="40" t="s">
        <v>692</v>
      </c>
      <c r="O282" s="40" t="s">
        <v>31</v>
      </c>
      <c r="P282" s="85">
        <v>6344.0455590000001</v>
      </c>
      <c r="S282" s="33">
        <v>3</v>
      </c>
      <c r="T282" s="30">
        <f t="shared" si="31"/>
        <v>0</v>
      </c>
      <c r="U282" s="5">
        <v>6343.0455589999992</v>
      </c>
      <c r="V282" s="5">
        <v>6343.0455589999992</v>
      </c>
      <c r="W282" s="77">
        <f t="shared" si="34"/>
        <v>0</v>
      </c>
      <c r="X282" s="77">
        <f t="shared" si="32"/>
        <v>1.0000000000009095</v>
      </c>
      <c r="AB282" s="67">
        <f t="shared" si="33"/>
        <v>36</v>
      </c>
    </row>
    <row r="283" spans="1:28" s="33" customFormat="1" x14ac:dyDescent="0.25">
      <c r="D283" s="33" t="s">
        <v>687</v>
      </c>
      <c r="E283" s="33" t="s">
        <v>688</v>
      </c>
      <c r="F283" s="33" t="s">
        <v>689</v>
      </c>
      <c r="G283" s="40" t="s">
        <v>698</v>
      </c>
      <c r="H283" s="40" t="s">
        <v>691</v>
      </c>
      <c r="I283" s="35">
        <v>41038</v>
      </c>
      <c r="J283" s="63">
        <v>9</v>
      </c>
      <c r="K283" s="63">
        <v>5</v>
      </c>
      <c r="L283" s="64">
        <v>2012</v>
      </c>
      <c r="M283" s="7" t="s">
        <v>56</v>
      </c>
      <c r="N283" s="40" t="s">
        <v>692</v>
      </c>
      <c r="O283" s="40" t="s">
        <v>31</v>
      </c>
      <c r="P283" s="85">
        <v>6344.0455590000001</v>
      </c>
      <c r="S283" s="33">
        <v>3</v>
      </c>
      <c r="T283" s="30">
        <f t="shared" si="31"/>
        <v>0</v>
      </c>
      <c r="U283" s="5">
        <v>6343.0455589999992</v>
      </c>
      <c r="V283" s="5">
        <v>6343.0455589999992</v>
      </c>
      <c r="W283" s="77">
        <f t="shared" si="34"/>
        <v>0</v>
      </c>
      <c r="X283" s="77">
        <f t="shared" si="32"/>
        <v>1.0000000000009095</v>
      </c>
      <c r="AB283" s="67">
        <f t="shared" si="33"/>
        <v>36</v>
      </c>
    </row>
    <row r="284" spans="1:28" s="33" customFormat="1" x14ac:dyDescent="0.25">
      <c r="D284" s="33" t="s">
        <v>687</v>
      </c>
      <c r="E284" s="33" t="s">
        <v>688</v>
      </c>
      <c r="F284" s="33" t="s">
        <v>689</v>
      </c>
      <c r="G284" s="40" t="s">
        <v>699</v>
      </c>
      <c r="H284" s="40" t="s">
        <v>691</v>
      </c>
      <c r="I284" s="35">
        <v>41038</v>
      </c>
      <c r="J284" s="63">
        <v>9</v>
      </c>
      <c r="K284" s="63">
        <v>5</v>
      </c>
      <c r="L284" s="64">
        <v>2012</v>
      </c>
      <c r="M284" s="7" t="s">
        <v>56</v>
      </c>
      <c r="N284" s="40" t="s">
        <v>692</v>
      </c>
      <c r="O284" s="40" t="s">
        <v>31</v>
      </c>
      <c r="P284" s="85">
        <v>6344.0455590000001</v>
      </c>
      <c r="S284" s="33">
        <v>3</v>
      </c>
      <c r="T284" s="30">
        <f t="shared" si="31"/>
        <v>0</v>
      </c>
      <c r="U284" s="5">
        <v>6343.0455589999992</v>
      </c>
      <c r="V284" s="5">
        <v>6343.0455589999992</v>
      </c>
      <c r="W284" s="77">
        <f t="shared" si="34"/>
        <v>0</v>
      </c>
      <c r="X284" s="77">
        <f t="shared" si="32"/>
        <v>1.0000000000009095</v>
      </c>
      <c r="AB284" s="67">
        <f t="shared" si="33"/>
        <v>36</v>
      </c>
    </row>
    <row r="285" spans="1:28" s="33" customFormat="1" x14ac:dyDescent="0.25">
      <c r="D285" s="33" t="s">
        <v>687</v>
      </c>
      <c r="E285" s="33" t="s">
        <v>688</v>
      </c>
      <c r="F285" s="33" t="s">
        <v>689</v>
      </c>
      <c r="G285" s="40" t="s">
        <v>700</v>
      </c>
      <c r="H285" s="40" t="s">
        <v>691</v>
      </c>
      <c r="I285" s="35">
        <v>41038</v>
      </c>
      <c r="J285" s="63">
        <v>9</v>
      </c>
      <c r="K285" s="63">
        <v>5</v>
      </c>
      <c r="L285" s="64">
        <v>2012</v>
      </c>
      <c r="M285" s="7" t="s">
        <v>56</v>
      </c>
      <c r="N285" s="40" t="s">
        <v>692</v>
      </c>
      <c r="O285" s="40" t="s">
        <v>31</v>
      </c>
      <c r="P285" s="85">
        <v>6344.0455590000001</v>
      </c>
      <c r="S285" s="33">
        <v>3</v>
      </c>
      <c r="T285" s="30">
        <f t="shared" si="31"/>
        <v>0</v>
      </c>
      <c r="U285" s="5">
        <v>6343.0455589999992</v>
      </c>
      <c r="V285" s="5">
        <v>6343.0455589999992</v>
      </c>
      <c r="W285" s="77">
        <f t="shared" si="34"/>
        <v>0</v>
      </c>
      <c r="X285" s="77">
        <f t="shared" si="32"/>
        <v>1.0000000000009095</v>
      </c>
      <c r="AB285" s="67">
        <f t="shared" si="33"/>
        <v>36</v>
      </c>
    </row>
    <row r="286" spans="1:28" s="33" customFormat="1" x14ac:dyDescent="0.25">
      <c r="D286" s="33" t="s">
        <v>687</v>
      </c>
      <c r="E286" s="33" t="s">
        <v>688</v>
      </c>
      <c r="F286" s="33" t="s">
        <v>689</v>
      </c>
      <c r="G286" s="40" t="s">
        <v>701</v>
      </c>
      <c r="H286" s="40" t="s">
        <v>691</v>
      </c>
      <c r="I286" s="35">
        <v>41038</v>
      </c>
      <c r="J286" s="63">
        <v>9</v>
      </c>
      <c r="K286" s="63">
        <v>5</v>
      </c>
      <c r="L286" s="64">
        <v>2012</v>
      </c>
      <c r="M286" s="7" t="s">
        <v>56</v>
      </c>
      <c r="N286" s="40" t="s">
        <v>692</v>
      </c>
      <c r="O286" s="40" t="s">
        <v>31</v>
      </c>
      <c r="P286" s="85">
        <v>6344.0455590000001</v>
      </c>
      <c r="S286" s="33">
        <v>3</v>
      </c>
      <c r="T286" s="30">
        <f>(((P286)-1)/3)/12*0</f>
        <v>0</v>
      </c>
      <c r="U286" s="5">
        <v>6343.0455589999992</v>
      </c>
      <c r="V286" s="5">
        <v>6343.0455589999992</v>
      </c>
      <c r="W286" s="77">
        <f t="shared" si="34"/>
        <v>0</v>
      </c>
      <c r="X286" s="77">
        <f t="shared" si="32"/>
        <v>1.0000000000009095</v>
      </c>
      <c r="AB286" s="67">
        <f t="shared" si="33"/>
        <v>36</v>
      </c>
    </row>
    <row r="287" spans="1:28" s="33" customFormat="1" x14ac:dyDescent="0.25">
      <c r="A287" s="40"/>
      <c r="B287" s="40"/>
      <c r="C287" s="40"/>
      <c r="D287" s="40"/>
      <c r="E287" s="40"/>
      <c r="F287" s="40"/>
      <c r="G287" s="40"/>
      <c r="H287" s="40"/>
      <c r="I287" s="52"/>
      <c r="J287" s="63"/>
      <c r="K287" s="63"/>
      <c r="L287" s="64"/>
      <c r="M287" s="40"/>
      <c r="N287" s="40"/>
      <c r="O287" s="40"/>
      <c r="P287" s="30"/>
      <c r="S287" s="52"/>
      <c r="T287" s="30"/>
      <c r="U287" s="5"/>
      <c r="V287" s="77"/>
      <c r="W287" s="77"/>
      <c r="X287" s="77"/>
      <c r="AB287" s="67"/>
    </row>
    <row r="288" spans="1:28" s="33" customFormat="1" x14ac:dyDescent="0.25">
      <c r="D288" s="40" t="s">
        <v>702</v>
      </c>
      <c r="E288" s="40" t="s">
        <v>83</v>
      </c>
      <c r="F288" s="40" t="s">
        <v>703</v>
      </c>
      <c r="G288" s="40" t="s">
        <v>704</v>
      </c>
      <c r="H288" s="40" t="s">
        <v>705</v>
      </c>
      <c r="I288" s="35">
        <v>41038</v>
      </c>
      <c r="J288" s="63">
        <v>9</v>
      </c>
      <c r="K288" s="63">
        <v>5</v>
      </c>
      <c r="L288" s="64">
        <v>2012</v>
      </c>
      <c r="M288" s="40" t="s">
        <v>56</v>
      </c>
      <c r="N288" s="40" t="s">
        <v>706</v>
      </c>
      <c r="O288" s="40" t="s">
        <v>31</v>
      </c>
      <c r="P288" s="85">
        <v>393679.2</v>
      </c>
      <c r="S288" s="33">
        <v>3</v>
      </c>
      <c r="T288" s="30">
        <f t="shared" ref="T288:T314" si="35">(((P288)-1)/3)/12*0</f>
        <v>0</v>
      </c>
      <c r="U288" s="5">
        <v>393678.20000000007</v>
      </c>
      <c r="V288" s="5">
        <v>393678.20000000007</v>
      </c>
      <c r="W288" s="77">
        <f t="shared" si="34"/>
        <v>0</v>
      </c>
      <c r="X288" s="77">
        <f t="shared" si="32"/>
        <v>0.99999999994179234</v>
      </c>
      <c r="AB288" s="67">
        <f t="shared" si="33"/>
        <v>36</v>
      </c>
    </row>
    <row r="289" spans="1:28" s="33" customFormat="1" x14ac:dyDescent="0.25">
      <c r="A289" s="51"/>
      <c r="B289" s="51"/>
      <c r="C289" s="51"/>
      <c r="D289" s="40" t="s">
        <v>707</v>
      </c>
      <c r="E289" s="40" t="s">
        <v>708</v>
      </c>
      <c r="F289" s="40" t="s">
        <v>709</v>
      </c>
      <c r="G289" s="40">
        <v>12115236</v>
      </c>
      <c r="H289" s="40" t="s">
        <v>710</v>
      </c>
      <c r="I289" s="35">
        <v>41045</v>
      </c>
      <c r="J289" s="63">
        <v>16</v>
      </c>
      <c r="K289" s="63">
        <v>5</v>
      </c>
      <c r="L289" s="64">
        <v>2012</v>
      </c>
      <c r="M289" s="40" t="s">
        <v>56</v>
      </c>
      <c r="N289" s="40" t="s">
        <v>711</v>
      </c>
      <c r="O289" s="40" t="s">
        <v>31</v>
      </c>
      <c r="P289" s="557">
        <v>7308</v>
      </c>
      <c r="Q289" s="51"/>
      <c r="R289" s="51"/>
      <c r="S289" s="51">
        <v>3</v>
      </c>
      <c r="T289" s="30">
        <f t="shared" si="35"/>
        <v>0</v>
      </c>
      <c r="U289" s="5">
        <v>7306.9999999999991</v>
      </c>
      <c r="V289" s="5">
        <v>7306.9999999999991</v>
      </c>
      <c r="W289" s="77">
        <f t="shared" si="34"/>
        <v>0</v>
      </c>
      <c r="X289" s="77">
        <f t="shared" si="32"/>
        <v>1.0000000000009095</v>
      </c>
      <c r="AB289" s="67">
        <f t="shared" si="33"/>
        <v>36</v>
      </c>
    </row>
    <row r="290" spans="1:28" s="33" customFormat="1" x14ac:dyDescent="0.25">
      <c r="A290" s="51"/>
      <c r="B290" s="51"/>
      <c r="C290" s="51"/>
      <c r="D290" s="40" t="s">
        <v>712</v>
      </c>
      <c r="E290" s="40" t="s">
        <v>708</v>
      </c>
      <c r="F290" s="40" t="s">
        <v>709</v>
      </c>
      <c r="G290" s="40">
        <v>12122073</v>
      </c>
      <c r="H290" s="40" t="s">
        <v>710</v>
      </c>
      <c r="I290" s="35">
        <v>41045</v>
      </c>
      <c r="J290" s="63">
        <v>16</v>
      </c>
      <c r="K290" s="63">
        <v>5</v>
      </c>
      <c r="L290" s="64">
        <v>2012</v>
      </c>
      <c r="M290" s="40" t="s">
        <v>56</v>
      </c>
      <c r="N290" s="40" t="s">
        <v>711</v>
      </c>
      <c r="O290" s="40" t="s">
        <v>31</v>
      </c>
      <c r="P290" s="557">
        <v>7308</v>
      </c>
      <c r="Q290" s="51"/>
      <c r="R290" s="51"/>
      <c r="S290" s="51">
        <v>3</v>
      </c>
      <c r="T290" s="30">
        <f t="shared" si="35"/>
        <v>0</v>
      </c>
      <c r="U290" s="5">
        <v>7306.9999999999991</v>
      </c>
      <c r="V290" s="5">
        <v>7306.9999999999991</v>
      </c>
      <c r="W290" s="77">
        <f t="shared" si="34"/>
        <v>0</v>
      </c>
      <c r="X290" s="77">
        <f t="shared" si="32"/>
        <v>1.0000000000009095</v>
      </c>
      <c r="AB290" s="67">
        <f t="shared" si="33"/>
        <v>36</v>
      </c>
    </row>
    <row r="291" spans="1:28" s="33" customFormat="1" x14ac:dyDescent="0.25">
      <c r="A291" s="51"/>
      <c r="B291" s="51"/>
      <c r="C291" s="51"/>
      <c r="D291" s="40" t="s">
        <v>712</v>
      </c>
      <c r="E291" s="40" t="s">
        <v>708</v>
      </c>
      <c r="F291" s="40" t="s">
        <v>709</v>
      </c>
      <c r="G291" s="40">
        <v>12114853</v>
      </c>
      <c r="H291" s="40" t="s">
        <v>710</v>
      </c>
      <c r="I291" s="35">
        <v>41045</v>
      </c>
      <c r="J291" s="63">
        <v>16</v>
      </c>
      <c r="K291" s="63">
        <v>5</v>
      </c>
      <c r="L291" s="64">
        <v>2012</v>
      </c>
      <c r="M291" s="40" t="s">
        <v>56</v>
      </c>
      <c r="N291" s="40" t="s">
        <v>711</v>
      </c>
      <c r="O291" s="40" t="s">
        <v>31</v>
      </c>
      <c r="P291" s="557">
        <v>7308</v>
      </c>
      <c r="Q291" s="51"/>
      <c r="R291" s="51"/>
      <c r="S291" s="51">
        <v>3</v>
      </c>
      <c r="T291" s="30">
        <f t="shared" si="35"/>
        <v>0</v>
      </c>
      <c r="U291" s="5">
        <v>7306.9999999999991</v>
      </c>
      <c r="V291" s="5">
        <v>7306.9999999999991</v>
      </c>
      <c r="W291" s="77">
        <f t="shared" si="34"/>
        <v>0</v>
      </c>
      <c r="X291" s="77">
        <f t="shared" si="32"/>
        <v>1.0000000000009095</v>
      </c>
      <c r="AB291" s="67">
        <f t="shared" si="33"/>
        <v>36</v>
      </c>
    </row>
    <row r="292" spans="1:28" s="33" customFormat="1" x14ac:dyDescent="0.25">
      <c r="A292" s="51"/>
      <c r="B292" s="51"/>
      <c r="C292" s="51"/>
      <c r="D292" s="40" t="s">
        <v>712</v>
      </c>
      <c r="E292" s="40" t="s">
        <v>708</v>
      </c>
      <c r="F292" s="40" t="s">
        <v>709</v>
      </c>
      <c r="G292" s="40">
        <v>12114416</v>
      </c>
      <c r="H292" s="40" t="s">
        <v>710</v>
      </c>
      <c r="I292" s="35">
        <v>41045</v>
      </c>
      <c r="J292" s="63">
        <v>16</v>
      </c>
      <c r="K292" s="63">
        <v>5</v>
      </c>
      <c r="L292" s="64">
        <v>2012</v>
      </c>
      <c r="M292" s="40" t="s">
        <v>56</v>
      </c>
      <c r="N292" s="40" t="s">
        <v>711</v>
      </c>
      <c r="O292" s="40" t="s">
        <v>31</v>
      </c>
      <c r="P292" s="557">
        <v>7308</v>
      </c>
      <c r="Q292" s="51"/>
      <c r="R292" s="51"/>
      <c r="S292" s="51">
        <v>3</v>
      </c>
      <c r="T292" s="30">
        <f t="shared" si="35"/>
        <v>0</v>
      </c>
      <c r="U292" s="5">
        <v>7306.9999999999991</v>
      </c>
      <c r="V292" s="5">
        <v>7306.9999999999991</v>
      </c>
      <c r="W292" s="77">
        <f t="shared" si="34"/>
        <v>0</v>
      </c>
      <c r="X292" s="77">
        <f t="shared" si="32"/>
        <v>1.0000000000009095</v>
      </c>
      <c r="AB292" s="67">
        <f t="shared" si="33"/>
        <v>36</v>
      </c>
    </row>
    <row r="293" spans="1:28" s="33" customFormat="1" x14ac:dyDescent="0.25">
      <c r="A293" s="51"/>
      <c r="B293" s="51"/>
      <c r="C293" s="51"/>
      <c r="D293" s="40" t="s">
        <v>712</v>
      </c>
      <c r="E293" s="40" t="s">
        <v>708</v>
      </c>
      <c r="F293" s="40" t="s">
        <v>709</v>
      </c>
      <c r="G293" s="40">
        <v>12100757</v>
      </c>
      <c r="H293" s="40" t="s">
        <v>710</v>
      </c>
      <c r="I293" s="35">
        <v>41045</v>
      </c>
      <c r="J293" s="63">
        <v>16</v>
      </c>
      <c r="K293" s="63">
        <v>5</v>
      </c>
      <c r="L293" s="64">
        <v>2012</v>
      </c>
      <c r="M293" s="40" t="s">
        <v>56</v>
      </c>
      <c r="N293" s="40" t="s">
        <v>711</v>
      </c>
      <c r="O293" s="40" t="s">
        <v>31</v>
      </c>
      <c r="P293" s="557">
        <v>7308</v>
      </c>
      <c r="Q293" s="51"/>
      <c r="R293" s="51"/>
      <c r="S293" s="51">
        <v>3</v>
      </c>
      <c r="T293" s="30">
        <f t="shared" si="35"/>
        <v>0</v>
      </c>
      <c r="U293" s="5">
        <v>7306.9999999999991</v>
      </c>
      <c r="V293" s="5">
        <v>7306.9999999999991</v>
      </c>
      <c r="W293" s="77">
        <f t="shared" si="34"/>
        <v>0</v>
      </c>
      <c r="X293" s="77">
        <f t="shared" si="32"/>
        <v>1.0000000000009095</v>
      </c>
      <c r="AB293" s="67">
        <f t="shared" si="33"/>
        <v>36</v>
      </c>
    </row>
    <row r="294" spans="1:28" s="33" customFormat="1" x14ac:dyDescent="0.25">
      <c r="A294" s="51"/>
      <c r="B294" s="51"/>
      <c r="C294" s="51"/>
      <c r="D294" s="40" t="s">
        <v>712</v>
      </c>
      <c r="E294" s="40" t="s">
        <v>708</v>
      </c>
      <c r="F294" s="40" t="s">
        <v>709</v>
      </c>
      <c r="G294" s="40">
        <v>12100549</v>
      </c>
      <c r="H294" s="40" t="s">
        <v>710</v>
      </c>
      <c r="I294" s="35">
        <v>41045</v>
      </c>
      <c r="J294" s="63">
        <v>16</v>
      </c>
      <c r="K294" s="63">
        <v>5</v>
      </c>
      <c r="L294" s="64">
        <v>2012</v>
      </c>
      <c r="M294" s="40" t="s">
        <v>56</v>
      </c>
      <c r="N294" s="40" t="s">
        <v>711</v>
      </c>
      <c r="O294" s="40" t="s">
        <v>31</v>
      </c>
      <c r="P294" s="557">
        <v>7308</v>
      </c>
      <c r="Q294" s="51"/>
      <c r="R294" s="51"/>
      <c r="S294" s="51">
        <v>3</v>
      </c>
      <c r="T294" s="30">
        <f t="shared" si="35"/>
        <v>0</v>
      </c>
      <c r="U294" s="5">
        <v>7306.9999999999991</v>
      </c>
      <c r="V294" s="5">
        <v>7306.9999999999991</v>
      </c>
      <c r="W294" s="77">
        <f t="shared" si="34"/>
        <v>0</v>
      </c>
      <c r="X294" s="77">
        <f t="shared" si="32"/>
        <v>1.0000000000009095</v>
      </c>
      <c r="AB294" s="67">
        <f t="shared" si="33"/>
        <v>36</v>
      </c>
    </row>
    <row r="295" spans="1:28" s="33" customFormat="1" x14ac:dyDescent="0.25">
      <c r="A295" s="51"/>
      <c r="B295" s="51"/>
      <c r="C295" s="51"/>
      <c r="D295" s="40" t="s">
        <v>712</v>
      </c>
      <c r="E295" s="40" t="s">
        <v>708</v>
      </c>
      <c r="F295" s="40" t="s">
        <v>709</v>
      </c>
      <c r="G295" s="40">
        <v>12100535</v>
      </c>
      <c r="H295" s="40" t="s">
        <v>710</v>
      </c>
      <c r="I295" s="35">
        <v>41045</v>
      </c>
      <c r="J295" s="63">
        <v>16</v>
      </c>
      <c r="K295" s="63">
        <v>5</v>
      </c>
      <c r="L295" s="64">
        <v>2012</v>
      </c>
      <c r="M295" s="40" t="s">
        <v>56</v>
      </c>
      <c r="N295" s="40" t="s">
        <v>711</v>
      </c>
      <c r="O295" s="40" t="s">
        <v>31</v>
      </c>
      <c r="P295" s="557">
        <v>7308</v>
      </c>
      <c r="Q295" s="51"/>
      <c r="R295" s="51"/>
      <c r="S295" s="51">
        <v>3</v>
      </c>
      <c r="T295" s="30">
        <f t="shared" si="35"/>
        <v>0</v>
      </c>
      <c r="U295" s="5">
        <v>7306.9999999999991</v>
      </c>
      <c r="V295" s="5">
        <v>7306.9999999999991</v>
      </c>
      <c r="W295" s="77">
        <f t="shared" si="34"/>
        <v>0</v>
      </c>
      <c r="X295" s="77">
        <f t="shared" si="32"/>
        <v>1.0000000000009095</v>
      </c>
      <c r="AB295" s="67">
        <f t="shared" si="33"/>
        <v>36</v>
      </c>
    </row>
    <row r="296" spans="1:28" s="33" customFormat="1" x14ac:dyDescent="0.25">
      <c r="A296" s="51"/>
      <c r="B296" s="51"/>
      <c r="C296" s="51"/>
      <c r="D296" s="40" t="s">
        <v>712</v>
      </c>
      <c r="E296" s="40" t="s">
        <v>708</v>
      </c>
      <c r="F296" s="40" t="s">
        <v>709</v>
      </c>
      <c r="G296" s="40">
        <v>12122070</v>
      </c>
      <c r="H296" s="40" t="s">
        <v>710</v>
      </c>
      <c r="I296" s="35">
        <v>41045</v>
      </c>
      <c r="J296" s="63">
        <v>16</v>
      </c>
      <c r="K296" s="63">
        <v>5</v>
      </c>
      <c r="L296" s="64">
        <v>2012</v>
      </c>
      <c r="M296" s="40" t="s">
        <v>56</v>
      </c>
      <c r="N296" s="40" t="s">
        <v>711</v>
      </c>
      <c r="O296" s="40" t="s">
        <v>31</v>
      </c>
      <c r="P296" s="557">
        <v>7308</v>
      </c>
      <c r="Q296" s="51"/>
      <c r="R296" s="51"/>
      <c r="S296" s="51">
        <v>3</v>
      </c>
      <c r="T296" s="30">
        <f t="shared" si="35"/>
        <v>0</v>
      </c>
      <c r="U296" s="5">
        <v>7306.9999999999991</v>
      </c>
      <c r="V296" s="5">
        <v>7306.9999999999991</v>
      </c>
      <c r="W296" s="77">
        <f t="shared" si="34"/>
        <v>0</v>
      </c>
      <c r="X296" s="77">
        <f t="shared" si="32"/>
        <v>1.0000000000009095</v>
      </c>
      <c r="AB296" s="67">
        <f t="shared" si="33"/>
        <v>36</v>
      </c>
    </row>
    <row r="297" spans="1:28" s="33" customFormat="1" x14ac:dyDescent="0.25">
      <c r="A297" s="51"/>
      <c r="B297" s="51"/>
      <c r="C297" s="51"/>
      <c r="D297" s="40" t="s">
        <v>712</v>
      </c>
      <c r="E297" s="40" t="s">
        <v>708</v>
      </c>
      <c r="F297" s="40" t="s">
        <v>709</v>
      </c>
      <c r="G297" s="40">
        <v>12122524</v>
      </c>
      <c r="H297" s="40" t="s">
        <v>710</v>
      </c>
      <c r="I297" s="35">
        <v>41045</v>
      </c>
      <c r="J297" s="63">
        <v>16</v>
      </c>
      <c r="K297" s="63">
        <v>5</v>
      </c>
      <c r="L297" s="64">
        <v>2012</v>
      </c>
      <c r="M297" s="40" t="s">
        <v>56</v>
      </c>
      <c r="N297" s="40" t="s">
        <v>711</v>
      </c>
      <c r="O297" s="40" t="s">
        <v>31</v>
      </c>
      <c r="P297" s="557">
        <v>7308</v>
      </c>
      <c r="Q297" s="51"/>
      <c r="R297" s="51"/>
      <c r="S297" s="51">
        <v>3</v>
      </c>
      <c r="T297" s="30">
        <f t="shared" si="35"/>
        <v>0</v>
      </c>
      <c r="U297" s="5">
        <v>7306.9999999999991</v>
      </c>
      <c r="V297" s="5">
        <v>7306.9999999999991</v>
      </c>
      <c r="W297" s="77">
        <f t="shared" si="34"/>
        <v>0</v>
      </c>
      <c r="X297" s="77">
        <f t="shared" si="32"/>
        <v>1.0000000000009095</v>
      </c>
      <c r="AB297" s="67">
        <f t="shared" si="33"/>
        <v>36</v>
      </c>
    </row>
    <row r="298" spans="1:28" s="33" customFormat="1" x14ac:dyDescent="0.25">
      <c r="A298" s="51"/>
      <c r="B298" s="51"/>
      <c r="C298" s="51"/>
      <c r="D298" s="40" t="s">
        <v>712</v>
      </c>
      <c r="E298" s="40" t="s">
        <v>708</v>
      </c>
      <c r="F298" s="40" t="s">
        <v>709</v>
      </c>
      <c r="G298" s="40">
        <v>12100532</v>
      </c>
      <c r="H298" s="40" t="s">
        <v>710</v>
      </c>
      <c r="I298" s="35">
        <v>41045</v>
      </c>
      <c r="J298" s="63">
        <v>16</v>
      </c>
      <c r="K298" s="63">
        <v>5</v>
      </c>
      <c r="L298" s="64">
        <v>2012</v>
      </c>
      <c r="M298" s="40" t="s">
        <v>56</v>
      </c>
      <c r="N298" s="40" t="s">
        <v>711</v>
      </c>
      <c r="O298" s="40" t="s">
        <v>31</v>
      </c>
      <c r="P298" s="557">
        <v>7308</v>
      </c>
      <c r="Q298" s="51"/>
      <c r="R298" s="51"/>
      <c r="S298" s="51">
        <v>3</v>
      </c>
      <c r="T298" s="30">
        <f t="shared" si="35"/>
        <v>0</v>
      </c>
      <c r="U298" s="5">
        <v>7306.9999999999991</v>
      </c>
      <c r="V298" s="5">
        <v>7306.9999999999991</v>
      </c>
      <c r="W298" s="77">
        <f t="shared" si="34"/>
        <v>0</v>
      </c>
      <c r="X298" s="77">
        <f t="shared" si="32"/>
        <v>1.0000000000009095</v>
      </c>
      <c r="AB298" s="67">
        <f t="shared" si="33"/>
        <v>36</v>
      </c>
    </row>
    <row r="299" spans="1:28" s="33" customFormat="1" x14ac:dyDescent="0.25">
      <c r="A299" s="51"/>
      <c r="B299" s="51"/>
      <c r="C299" s="51"/>
      <c r="D299" s="40" t="s">
        <v>712</v>
      </c>
      <c r="E299" s="40" t="s">
        <v>708</v>
      </c>
      <c r="F299" s="40" t="s">
        <v>709</v>
      </c>
      <c r="G299" s="40">
        <v>12122176</v>
      </c>
      <c r="H299" s="40" t="s">
        <v>710</v>
      </c>
      <c r="I299" s="35">
        <v>41045</v>
      </c>
      <c r="J299" s="63">
        <v>16</v>
      </c>
      <c r="K299" s="63">
        <v>5</v>
      </c>
      <c r="L299" s="64">
        <v>2012</v>
      </c>
      <c r="M299" s="40" t="s">
        <v>56</v>
      </c>
      <c r="N299" s="40" t="s">
        <v>711</v>
      </c>
      <c r="O299" s="40" t="s">
        <v>31</v>
      </c>
      <c r="P299" s="557">
        <v>7308</v>
      </c>
      <c r="Q299" s="51"/>
      <c r="R299" s="51"/>
      <c r="S299" s="51">
        <v>3</v>
      </c>
      <c r="T299" s="30">
        <f t="shared" si="35"/>
        <v>0</v>
      </c>
      <c r="U299" s="5">
        <v>7306.9999999999991</v>
      </c>
      <c r="V299" s="5">
        <v>7306.9999999999991</v>
      </c>
      <c r="W299" s="77">
        <f t="shared" si="34"/>
        <v>0</v>
      </c>
      <c r="X299" s="77">
        <f t="shared" si="32"/>
        <v>1.0000000000009095</v>
      </c>
      <c r="AB299" s="67">
        <f t="shared" si="33"/>
        <v>36</v>
      </c>
    </row>
    <row r="300" spans="1:28" s="33" customFormat="1" x14ac:dyDescent="0.25">
      <c r="A300" s="51"/>
      <c r="B300" s="51"/>
      <c r="C300" s="51"/>
      <c r="D300" s="40" t="s">
        <v>712</v>
      </c>
      <c r="E300" s="40" t="s">
        <v>708</v>
      </c>
      <c r="F300" s="40" t="s">
        <v>709</v>
      </c>
      <c r="G300" s="40">
        <v>12122229</v>
      </c>
      <c r="H300" s="40" t="s">
        <v>710</v>
      </c>
      <c r="I300" s="35">
        <v>41045</v>
      </c>
      <c r="J300" s="63">
        <v>16</v>
      </c>
      <c r="K300" s="63">
        <v>5</v>
      </c>
      <c r="L300" s="64">
        <v>2012</v>
      </c>
      <c r="M300" s="40" t="s">
        <v>56</v>
      </c>
      <c r="N300" s="40" t="s">
        <v>711</v>
      </c>
      <c r="O300" s="40" t="s">
        <v>31</v>
      </c>
      <c r="P300" s="557">
        <v>7308</v>
      </c>
      <c r="Q300" s="51"/>
      <c r="R300" s="51"/>
      <c r="S300" s="51">
        <v>3</v>
      </c>
      <c r="T300" s="30">
        <f t="shared" si="35"/>
        <v>0</v>
      </c>
      <c r="U300" s="5">
        <v>7306.9999999999991</v>
      </c>
      <c r="V300" s="5">
        <v>7306.9999999999991</v>
      </c>
      <c r="W300" s="77">
        <f t="shared" si="34"/>
        <v>0</v>
      </c>
      <c r="X300" s="77">
        <f t="shared" si="32"/>
        <v>1.0000000000009095</v>
      </c>
      <c r="AB300" s="67">
        <f t="shared" si="33"/>
        <v>36</v>
      </c>
    </row>
    <row r="301" spans="1:28" s="33" customFormat="1" x14ac:dyDescent="0.25">
      <c r="A301" s="51"/>
      <c r="B301" s="51"/>
      <c r="C301" s="51"/>
      <c r="D301" s="40" t="s">
        <v>712</v>
      </c>
      <c r="E301" s="40" t="s">
        <v>708</v>
      </c>
      <c r="F301" s="40" t="s">
        <v>709</v>
      </c>
      <c r="G301" s="40">
        <v>12114369</v>
      </c>
      <c r="H301" s="40" t="s">
        <v>710</v>
      </c>
      <c r="I301" s="35">
        <v>41045</v>
      </c>
      <c r="J301" s="63">
        <v>16</v>
      </c>
      <c r="K301" s="63">
        <v>5</v>
      </c>
      <c r="L301" s="64">
        <v>2012</v>
      </c>
      <c r="M301" s="40" t="s">
        <v>56</v>
      </c>
      <c r="N301" s="40" t="s">
        <v>711</v>
      </c>
      <c r="O301" s="40" t="s">
        <v>31</v>
      </c>
      <c r="P301" s="557">
        <v>7308</v>
      </c>
      <c r="Q301" s="51"/>
      <c r="R301" s="51"/>
      <c r="S301" s="51">
        <v>3</v>
      </c>
      <c r="T301" s="30">
        <f t="shared" si="35"/>
        <v>0</v>
      </c>
      <c r="U301" s="5">
        <v>7306.9999999999991</v>
      </c>
      <c r="V301" s="5">
        <v>7306.9999999999991</v>
      </c>
      <c r="W301" s="77">
        <f t="shared" si="34"/>
        <v>0</v>
      </c>
      <c r="X301" s="77">
        <f t="shared" si="32"/>
        <v>1.0000000000009095</v>
      </c>
      <c r="AB301" s="67">
        <f t="shared" si="33"/>
        <v>36</v>
      </c>
    </row>
    <row r="302" spans="1:28" s="33" customFormat="1" x14ac:dyDescent="0.25">
      <c r="A302" s="51"/>
      <c r="B302" s="51"/>
      <c r="C302" s="51"/>
      <c r="D302" s="40" t="s">
        <v>712</v>
      </c>
      <c r="E302" s="40" t="s">
        <v>708</v>
      </c>
      <c r="F302" s="40" t="s">
        <v>709</v>
      </c>
      <c r="G302" s="40">
        <v>12122102</v>
      </c>
      <c r="H302" s="40" t="s">
        <v>710</v>
      </c>
      <c r="I302" s="35">
        <v>41045</v>
      </c>
      <c r="J302" s="63">
        <v>16</v>
      </c>
      <c r="K302" s="63">
        <v>5</v>
      </c>
      <c r="L302" s="64">
        <v>2012</v>
      </c>
      <c r="M302" s="40" t="s">
        <v>56</v>
      </c>
      <c r="N302" s="40" t="s">
        <v>711</v>
      </c>
      <c r="O302" s="40" t="s">
        <v>31</v>
      </c>
      <c r="P302" s="557">
        <v>7308</v>
      </c>
      <c r="Q302" s="51"/>
      <c r="R302" s="51"/>
      <c r="S302" s="51">
        <v>3</v>
      </c>
      <c r="T302" s="30">
        <f t="shared" si="35"/>
        <v>0</v>
      </c>
      <c r="U302" s="5">
        <v>7306.9999999999991</v>
      </c>
      <c r="V302" s="5">
        <v>7306.9999999999991</v>
      </c>
      <c r="W302" s="77">
        <f t="shared" si="34"/>
        <v>0</v>
      </c>
      <c r="X302" s="77">
        <f t="shared" si="32"/>
        <v>1.0000000000009095</v>
      </c>
      <c r="AB302" s="67">
        <f t="shared" si="33"/>
        <v>36</v>
      </c>
    </row>
    <row r="303" spans="1:28" s="33" customFormat="1" x14ac:dyDescent="0.25">
      <c r="A303" s="51"/>
      <c r="B303" s="51"/>
      <c r="C303" s="51"/>
      <c r="D303" s="40" t="s">
        <v>712</v>
      </c>
      <c r="E303" s="40" t="s">
        <v>708</v>
      </c>
      <c r="F303" s="40" t="s">
        <v>709</v>
      </c>
      <c r="G303" s="40">
        <v>12122126</v>
      </c>
      <c r="H303" s="40" t="s">
        <v>710</v>
      </c>
      <c r="I303" s="35">
        <v>41045</v>
      </c>
      <c r="J303" s="63">
        <v>16</v>
      </c>
      <c r="K303" s="63">
        <v>5</v>
      </c>
      <c r="L303" s="64">
        <v>2012</v>
      </c>
      <c r="M303" s="40" t="s">
        <v>56</v>
      </c>
      <c r="N303" s="40" t="s">
        <v>711</v>
      </c>
      <c r="O303" s="40" t="s">
        <v>31</v>
      </c>
      <c r="P303" s="557">
        <v>7308</v>
      </c>
      <c r="Q303" s="51"/>
      <c r="R303" s="51"/>
      <c r="S303" s="51">
        <v>3</v>
      </c>
      <c r="T303" s="30">
        <f t="shared" si="35"/>
        <v>0</v>
      </c>
      <c r="U303" s="5">
        <v>7306.9999999999991</v>
      </c>
      <c r="V303" s="5">
        <v>7306.9999999999991</v>
      </c>
      <c r="W303" s="77">
        <f t="shared" si="34"/>
        <v>0</v>
      </c>
      <c r="X303" s="77">
        <f t="shared" si="32"/>
        <v>1.0000000000009095</v>
      </c>
      <c r="AB303" s="67">
        <f t="shared" si="33"/>
        <v>36</v>
      </c>
    </row>
    <row r="304" spans="1:28" s="33" customFormat="1" x14ac:dyDescent="0.25">
      <c r="A304" s="51"/>
      <c r="B304" s="51"/>
      <c r="C304" s="51"/>
      <c r="D304" s="40" t="s">
        <v>712</v>
      </c>
      <c r="E304" s="40" t="s">
        <v>708</v>
      </c>
      <c r="F304" s="40" t="s">
        <v>709</v>
      </c>
      <c r="G304" s="40">
        <v>12114828</v>
      </c>
      <c r="H304" s="40" t="s">
        <v>710</v>
      </c>
      <c r="I304" s="35">
        <v>41045</v>
      </c>
      <c r="J304" s="63">
        <v>16</v>
      </c>
      <c r="K304" s="63">
        <v>5</v>
      </c>
      <c r="L304" s="64">
        <v>2012</v>
      </c>
      <c r="M304" s="40" t="s">
        <v>56</v>
      </c>
      <c r="N304" s="40" t="s">
        <v>711</v>
      </c>
      <c r="O304" s="40" t="s">
        <v>31</v>
      </c>
      <c r="P304" s="557">
        <v>7308</v>
      </c>
      <c r="Q304" s="51"/>
      <c r="R304" s="51"/>
      <c r="S304" s="51">
        <v>3</v>
      </c>
      <c r="T304" s="30">
        <f t="shared" si="35"/>
        <v>0</v>
      </c>
      <c r="U304" s="5">
        <v>7306.9999999999991</v>
      </c>
      <c r="V304" s="5">
        <v>7306.9999999999991</v>
      </c>
      <c r="W304" s="77">
        <f t="shared" si="34"/>
        <v>0</v>
      </c>
      <c r="X304" s="77">
        <f t="shared" si="32"/>
        <v>1.0000000000009095</v>
      </c>
      <c r="AB304" s="67">
        <f t="shared" si="33"/>
        <v>36</v>
      </c>
    </row>
    <row r="305" spans="1:28" s="33" customFormat="1" x14ac:dyDescent="0.25">
      <c r="A305" s="51"/>
      <c r="B305" s="51"/>
      <c r="C305" s="51"/>
      <c r="D305" s="40" t="s">
        <v>712</v>
      </c>
      <c r="E305" s="40" t="s">
        <v>708</v>
      </c>
      <c r="F305" s="40" t="s">
        <v>709</v>
      </c>
      <c r="G305" s="40">
        <v>12122539</v>
      </c>
      <c r="H305" s="40" t="s">
        <v>710</v>
      </c>
      <c r="I305" s="35">
        <v>41045</v>
      </c>
      <c r="J305" s="63">
        <v>16</v>
      </c>
      <c r="K305" s="63">
        <v>5</v>
      </c>
      <c r="L305" s="64">
        <v>2012</v>
      </c>
      <c r="M305" s="40" t="s">
        <v>56</v>
      </c>
      <c r="N305" s="40" t="s">
        <v>711</v>
      </c>
      <c r="O305" s="40" t="s">
        <v>31</v>
      </c>
      <c r="P305" s="557">
        <v>7308</v>
      </c>
      <c r="Q305" s="51"/>
      <c r="R305" s="51"/>
      <c r="S305" s="51">
        <v>3</v>
      </c>
      <c r="T305" s="30">
        <f t="shared" si="35"/>
        <v>0</v>
      </c>
      <c r="U305" s="5">
        <v>7306.9999999999991</v>
      </c>
      <c r="V305" s="5">
        <v>7306.9999999999991</v>
      </c>
      <c r="W305" s="77">
        <f t="shared" si="34"/>
        <v>0</v>
      </c>
      <c r="X305" s="77">
        <f t="shared" si="32"/>
        <v>1.0000000000009095</v>
      </c>
      <c r="AB305" s="67">
        <f t="shared" si="33"/>
        <v>36</v>
      </c>
    </row>
    <row r="306" spans="1:28" s="33" customFormat="1" x14ac:dyDescent="0.25">
      <c r="A306" s="51"/>
      <c r="B306" s="51"/>
      <c r="C306" s="51"/>
      <c r="D306" s="40" t="s">
        <v>712</v>
      </c>
      <c r="E306" s="40" t="s">
        <v>708</v>
      </c>
      <c r="F306" s="40" t="s">
        <v>709</v>
      </c>
      <c r="G306" s="40">
        <v>12122096</v>
      </c>
      <c r="H306" s="40" t="s">
        <v>710</v>
      </c>
      <c r="I306" s="35">
        <v>41045</v>
      </c>
      <c r="J306" s="63">
        <v>16</v>
      </c>
      <c r="K306" s="63">
        <v>5</v>
      </c>
      <c r="L306" s="64">
        <v>2012</v>
      </c>
      <c r="M306" s="40" t="s">
        <v>56</v>
      </c>
      <c r="N306" s="40" t="s">
        <v>711</v>
      </c>
      <c r="O306" s="40" t="s">
        <v>31</v>
      </c>
      <c r="P306" s="557">
        <v>7308</v>
      </c>
      <c r="Q306" s="51"/>
      <c r="R306" s="51"/>
      <c r="S306" s="51">
        <v>3</v>
      </c>
      <c r="T306" s="30">
        <f t="shared" si="35"/>
        <v>0</v>
      </c>
      <c r="U306" s="5">
        <v>7306.9999999999991</v>
      </c>
      <c r="V306" s="5">
        <v>7306.9999999999991</v>
      </c>
      <c r="W306" s="77">
        <f t="shared" si="34"/>
        <v>0</v>
      </c>
      <c r="X306" s="77">
        <f t="shared" si="32"/>
        <v>1.0000000000009095</v>
      </c>
      <c r="AB306" s="67">
        <f t="shared" si="33"/>
        <v>36</v>
      </c>
    </row>
    <row r="307" spans="1:28" s="33" customFormat="1" x14ac:dyDescent="0.25">
      <c r="A307" s="51"/>
      <c r="B307" s="51"/>
      <c r="C307" s="51"/>
      <c r="D307" s="40" t="s">
        <v>712</v>
      </c>
      <c r="E307" s="40" t="s">
        <v>708</v>
      </c>
      <c r="F307" s="40" t="s">
        <v>709</v>
      </c>
      <c r="G307" s="40">
        <v>12122482</v>
      </c>
      <c r="H307" s="40" t="s">
        <v>710</v>
      </c>
      <c r="I307" s="35">
        <v>41045</v>
      </c>
      <c r="J307" s="63">
        <v>16</v>
      </c>
      <c r="K307" s="63">
        <v>5</v>
      </c>
      <c r="L307" s="64">
        <v>2012</v>
      </c>
      <c r="M307" s="40" t="s">
        <v>56</v>
      </c>
      <c r="N307" s="40" t="s">
        <v>711</v>
      </c>
      <c r="O307" s="40" t="s">
        <v>31</v>
      </c>
      <c r="P307" s="557">
        <v>7308</v>
      </c>
      <c r="Q307" s="51"/>
      <c r="R307" s="51"/>
      <c r="S307" s="51">
        <v>3</v>
      </c>
      <c r="T307" s="30">
        <f t="shared" si="35"/>
        <v>0</v>
      </c>
      <c r="U307" s="5">
        <v>7306.9999999999991</v>
      </c>
      <c r="V307" s="5">
        <v>7306.9999999999991</v>
      </c>
      <c r="W307" s="77">
        <f t="shared" si="34"/>
        <v>0</v>
      </c>
      <c r="X307" s="77">
        <f t="shared" si="32"/>
        <v>1.0000000000009095</v>
      </c>
      <c r="AB307" s="67">
        <f t="shared" si="33"/>
        <v>36</v>
      </c>
    </row>
    <row r="308" spans="1:28" s="33" customFormat="1" x14ac:dyDescent="0.25">
      <c r="A308" s="51"/>
      <c r="B308" s="51"/>
      <c r="C308" s="51"/>
      <c r="D308" s="40" t="s">
        <v>712</v>
      </c>
      <c r="E308" s="40" t="s">
        <v>708</v>
      </c>
      <c r="F308" s="40" t="s">
        <v>709</v>
      </c>
      <c r="G308" s="40">
        <v>12114339</v>
      </c>
      <c r="H308" s="40" t="s">
        <v>710</v>
      </c>
      <c r="I308" s="35">
        <v>41045</v>
      </c>
      <c r="J308" s="63">
        <v>16</v>
      </c>
      <c r="K308" s="63">
        <v>5</v>
      </c>
      <c r="L308" s="64">
        <v>2012</v>
      </c>
      <c r="M308" s="40" t="s">
        <v>56</v>
      </c>
      <c r="N308" s="40" t="s">
        <v>711</v>
      </c>
      <c r="O308" s="40" t="s">
        <v>31</v>
      </c>
      <c r="P308" s="557">
        <v>7308</v>
      </c>
      <c r="Q308" s="51"/>
      <c r="R308" s="51"/>
      <c r="S308" s="51">
        <v>3</v>
      </c>
      <c r="T308" s="30">
        <f t="shared" si="35"/>
        <v>0</v>
      </c>
      <c r="U308" s="5">
        <v>7306.9999999999991</v>
      </c>
      <c r="V308" s="5">
        <v>7306.9999999999991</v>
      </c>
      <c r="W308" s="77">
        <f t="shared" si="34"/>
        <v>0</v>
      </c>
      <c r="X308" s="77">
        <f t="shared" si="32"/>
        <v>1.0000000000009095</v>
      </c>
      <c r="AB308" s="67">
        <f t="shared" si="33"/>
        <v>36</v>
      </c>
    </row>
    <row r="309" spans="1:28" s="33" customFormat="1" x14ac:dyDescent="0.25">
      <c r="A309" s="40"/>
      <c r="B309" s="40"/>
      <c r="C309" s="40"/>
      <c r="D309" s="40"/>
      <c r="E309" s="40"/>
      <c r="F309" s="40"/>
      <c r="G309" s="40"/>
      <c r="H309" s="40"/>
      <c r="I309" s="52"/>
      <c r="J309" s="63"/>
      <c r="K309" s="63"/>
      <c r="L309" s="64"/>
      <c r="M309" s="40"/>
      <c r="N309" s="40"/>
      <c r="O309" s="40"/>
      <c r="P309" s="557"/>
      <c r="Q309" s="51"/>
      <c r="R309" s="51"/>
      <c r="S309" s="52"/>
      <c r="T309" s="30"/>
      <c r="U309" s="5"/>
      <c r="V309" s="5"/>
      <c r="W309" s="77"/>
      <c r="X309" s="77"/>
      <c r="AB309" s="67"/>
    </row>
    <row r="310" spans="1:28" s="33" customFormat="1" x14ac:dyDescent="0.25">
      <c r="A310" s="40"/>
      <c r="B310" s="40"/>
      <c r="C310" s="40"/>
      <c r="D310" s="40" t="s">
        <v>183</v>
      </c>
      <c r="E310" s="40" t="s">
        <v>713</v>
      </c>
      <c r="F310" s="40" t="s">
        <v>714</v>
      </c>
      <c r="G310" s="40">
        <v>406124</v>
      </c>
      <c r="H310" s="40" t="s">
        <v>710</v>
      </c>
      <c r="I310" s="35">
        <v>41057</v>
      </c>
      <c r="J310" s="63">
        <v>28</v>
      </c>
      <c r="K310" s="63">
        <v>5</v>
      </c>
      <c r="L310" s="64">
        <v>2012</v>
      </c>
      <c r="M310" s="40" t="s">
        <v>56</v>
      </c>
      <c r="N310" s="40" t="s">
        <v>711</v>
      </c>
      <c r="O310" s="40" t="s">
        <v>31</v>
      </c>
      <c r="P310" s="85">
        <v>37717.03</v>
      </c>
      <c r="Q310" s="564"/>
      <c r="R310" s="564"/>
      <c r="S310" s="33">
        <v>3</v>
      </c>
      <c r="T310" s="30">
        <f t="shared" si="35"/>
        <v>0</v>
      </c>
      <c r="U310" s="5">
        <v>37716.03</v>
      </c>
      <c r="V310" s="5">
        <v>37716.03</v>
      </c>
      <c r="W310" s="77">
        <f t="shared" si="34"/>
        <v>0</v>
      </c>
      <c r="X310" s="77">
        <f t="shared" si="32"/>
        <v>1</v>
      </c>
      <c r="AB310" s="67">
        <f t="shared" si="33"/>
        <v>36</v>
      </c>
    </row>
    <row r="311" spans="1:28" s="33" customFormat="1" x14ac:dyDescent="0.25">
      <c r="A311" s="40"/>
      <c r="B311" s="40"/>
      <c r="C311" s="40"/>
      <c r="D311" s="62" t="s">
        <v>103</v>
      </c>
      <c r="E311" s="40" t="s">
        <v>715</v>
      </c>
      <c r="F311" s="40" t="s">
        <v>716</v>
      </c>
      <c r="G311" s="40"/>
      <c r="H311" s="40" t="s">
        <v>225</v>
      </c>
      <c r="I311" s="35">
        <v>41086</v>
      </c>
      <c r="J311" s="63">
        <v>26</v>
      </c>
      <c r="K311" s="63">
        <v>6</v>
      </c>
      <c r="L311" s="64">
        <v>2012</v>
      </c>
      <c r="M311" s="40" t="s">
        <v>56</v>
      </c>
      <c r="N311" s="40" t="s">
        <v>717</v>
      </c>
      <c r="O311" s="40" t="s">
        <v>31</v>
      </c>
      <c r="P311" s="30">
        <v>77339</v>
      </c>
      <c r="S311" s="52">
        <v>3</v>
      </c>
      <c r="T311" s="30">
        <f t="shared" si="35"/>
        <v>0</v>
      </c>
      <c r="U311" s="5">
        <v>77338</v>
      </c>
      <c r="V311" s="5">
        <v>77338</v>
      </c>
      <c r="W311" s="77">
        <f t="shared" si="34"/>
        <v>0</v>
      </c>
      <c r="X311" s="77">
        <f t="shared" si="32"/>
        <v>1</v>
      </c>
      <c r="AB311" s="67">
        <f t="shared" si="33"/>
        <v>36</v>
      </c>
    </row>
    <row r="312" spans="1:28" s="33" customFormat="1" x14ac:dyDescent="0.25">
      <c r="A312" s="40"/>
      <c r="B312" s="40"/>
      <c r="C312" s="40"/>
      <c r="D312" s="40" t="s">
        <v>718</v>
      </c>
      <c r="E312" s="40" t="s">
        <v>719</v>
      </c>
      <c r="F312" s="40"/>
      <c r="G312" s="40"/>
      <c r="H312" s="40" t="s">
        <v>225</v>
      </c>
      <c r="I312" s="35">
        <v>41086</v>
      </c>
      <c r="J312" s="63">
        <v>26</v>
      </c>
      <c r="K312" s="63">
        <v>6</v>
      </c>
      <c r="L312" s="64">
        <v>2012</v>
      </c>
      <c r="M312" s="40" t="s">
        <v>56</v>
      </c>
      <c r="N312" s="40" t="s">
        <v>717</v>
      </c>
      <c r="O312" s="40" t="s">
        <v>31</v>
      </c>
      <c r="P312" s="30">
        <v>39574.800000000003</v>
      </c>
      <c r="Q312" s="51"/>
      <c r="R312" s="51"/>
      <c r="S312" s="52">
        <v>3</v>
      </c>
      <c r="T312" s="30">
        <f t="shared" si="35"/>
        <v>0</v>
      </c>
      <c r="U312" s="5">
        <v>39573.800000000003</v>
      </c>
      <c r="V312" s="5">
        <v>39573.800000000003</v>
      </c>
      <c r="W312" s="77">
        <f t="shared" si="34"/>
        <v>0</v>
      </c>
      <c r="X312" s="77">
        <f t="shared" si="32"/>
        <v>1</v>
      </c>
      <c r="AB312" s="67">
        <f t="shared" si="33"/>
        <v>36</v>
      </c>
    </row>
    <row r="313" spans="1:28" s="33" customFormat="1" x14ac:dyDescent="0.25">
      <c r="A313" s="40"/>
      <c r="B313" s="40"/>
      <c r="C313" s="40"/>
      <c r="D313" s="62"/>
      <c r="E313" s="62"/>
      <c r="F313" s="62"/>
      <c r="G313" s="40"/>
      <c r="H313" s="40"/>
      <c r="I313" s="35"/>
      <c r="J313" s="63"/>
      <c r="K313" s="63"/>
      <c r="L313" s="64"/>
      <c r="M313" s="40"/>
      <c r="N313" s="40"/>
      <c r="O313" s="40"/>
      <c r="P313" s="30"/>
      <c r="S313" s="52"/>
      <c r="T313" s="30"/>
      <c r="U313" s="5"/>
      <c r="V313" s="5"/>
      <c r="W313" s="77"/>
      <c r="X313" s="77"/>
      <c r="AB313" s="67"/>
    </row>
    <row r="314" spans="1:28" s="33" customFormat="1" x14ac:dyDescent="0.25">
      <c r="D314" s="40" t="s">
        <v>720</v>
      </c>
      <c r="E314" s="40" t="s">
        <v>94</v>
      </c>
      <c r="F314" s="40" t="s">
        <v>721</v>
      </c>
      <c r="G314" s="40"/>
      <c r="H314" s="40" t="s">
        <v>722</v>
      </c>
      <c r="I314" s="35">
        <v>41116</v>
      </c>
      <c r="J314" s="63">
        <v>26</v>
      </c>
      <c r="K314" s="63">
        <v>7</v>
      </c>
      <c r="L314" s="64">
        <v>2012</v>
      </c>
      <c r="M314" s="40" t="s">
        <v>56</v>
      </c>
      <c r="N314" s="40" t="s">
        <v>723</v>
      </c>
      <c r="O314" s="40" t="s">
        <v>31</v>
      </c>
      <c r="P314" s="85">
        <v>156345.91</v>
      </c>
      <c r="S314" s="33">
        <v>3</v>
      </c>
      <c r="T314" s="30">
        <f t="shared" si="35"/>
        <v>0</v>
      </c>
      <c r="U314" s="5">
        <v>156344.91</v>
      </c>
      <c r="V314" s="5">
        <v>156344.91</v>
      </c>
      <c r="W314" s="77">
        <f t="shared" si="34"/>
        <v>0</v>
      </c>
      <c r="X314" s="77">
        <f t="shared" si="32"/>
        <v>1</v>
      </c>
      <c r="AB314" s="67">
        <f t="shared" si="33"/>
        <v>36</v>
      </c>
    </row>
    <row r="315" spans="1:28" s="33" customFormat="1" x14ac:dyDescent="0.25">
      <c r="A315" s="40"/>
      <c r="B315" s="40"/>
      <c r="C315" s="40"/>
      <c r="D315" s="62"/>
      <c r="E315" s="62"/>
      <c r="F315" s="62"/>
      <c r="G315" s="40"/>
      <c r="H315" s="40"/>
      <c r="I315" s="35"/>
      <c r="J315" s="63"/>
      <c r="K315" s="63"/>
      <c r="L315" s="64"/>
      <c r="M315" s="40"/>
      <c r="N315" s="40"/>
      <c r="O315" s="40"/>
      <c r="P315" s="30"/>
      <c r="S315" s="52"/>
      <c r="T315" s="30"/>
    </row>
    <row r="316" spans="1:28" s="33" customFormat="1" x14ac:dyDescent="0.25">
      <c r="A316" s="22" t="s">
        <v>2295</v>
      </c>
      <c r="B316" s="57"/>
      <c r="C316" s="57"/>
      <c r="D316" s="57"/>
      <c r="E316" s="57"/>
      <c r="F316" s="57"/>
      <c r="G316" s="57"/>
      <c r="H316" s="57"/>
      <c r="I316" s="73"/>
      <c r="J316" s="58"/>
      <c r="K316" s="58"/>
      <c r="L316" s="59"/>
      <c r="M316" s="57"/>
      <c r="N316" s="57"/>
      <c r="O316" s="57"/>
      <c r="P316" s="26">
        <f>SUM(P277:P315)</f>
        <v>914256.39559000009</v>
      </c>
      <c r="Q316" s="55"/>
      <c r="R316" s="55"/>
      <c r="S316" s="73"/>
      <c r="T316" s="26">
        <f>SUM(T277:T315)</f>
        <v>0</v>
      </c>
      <c r="U316" s="26">
        <v>914221.39559000009</v>
      </c>
      <c r="V316" s="26">
        <v>914221.39559000009</v>
      </c>
      <c r="W316" s="26">
        <f>SUM(W277:W315)</f>
        <v>0</v>
      </c>
      <c r="X316" s="26">
        <f>SUM(X277:X315)</f>
        <v>34.999999999969077</v>
      </c>
    </row>
    <row r="317" spans="1:28" s="33" customFormat="1" x14ac:dyDescent="0.25">
      <c r="A317" s="40"/>
      <c r="B317" s="40"/>
      <c r="C317" s="40"/>
      <c r="D317" s="40"/>
      <c r="E317" s="40"/>
      <c r="F317" s="40"/>
      <c r="G317" s="40"/>
      <c r="H317" s="40"/>
      <c r="I317" s="52"/>
      <c r="J317" s="63"/>
      <c r="K317" s="63"/>
      <c r="L317" s="64"/>
      <c r="M317" s="40"/>
      <c r="N317" s="40"/>
      <c r="O317" s="40"/>
      <c r="P317" s="30"/>
      <c r="S317" s="52"/>
      <c r="T317" s="30"/>
    </row>
    <row r="318" spans="1:28" s="33" customFormat="1" ht="16.5" thickBot="1" x14ac:dyDescent="0.3">
      <c r="A318" s="22" t="s">
        <v>724</v>
      </c>
      <c r="B318" s="57"/>
      <c r="C318" s="57"/>
      <c r="D318" s="57"/>
      <c r="E318" s="57"/>
      <c r="F318" s="57"/>
      <c r="G318" s="57"/>
      <c r="H318" s="57"/>
      <c r="I318" s="73"/>
      <c r="J318" s="58"/>
      <c r="K318" s="58"/>
      <c r="L318" s="59"/>
      <c r="M318" s="57"/>
      <c r="N318" s="57"/>
      <c r="O318" s="57"/>
      <c r="P318" s="86">
        <f>+P316+P275</f>
        <v>13317073.213789999</v>
      </c>
      <c r="Q318" s="28"/>
      <c r="R318" s="28"/>
      <c r="S318" s="28"/>
      <c r="T318" s="86">
        <f>+T316+T275</f>
        <v>0</v>
      </c>
      <c r="U318" s="86">
        <v>13333116.352678888</v>
      </c>
      <c r="V318" s="86">
        <v>13333116.352678888</v>
      </c>
      <c r="W318" s="86">
        <f>+W316+W275</f>
        <v>0</v>
      </c>
      <c r="X318" s="86">
        <f>+X316+X275</f>
        <v>276.00000000013551</v>
      </c>
    </row>
    <row r="319" spans="1:28" s="33" customFormat="1" ht="16.5" thickTop="1" x14ac:dyDescent="0.25">
      <c r="A319" s="68"/>
      <c r="B319" s="68"/>
      <c r="C319" s="68"/>
      <c r="D319" s="40"/>
      <c r="E319" s="40"/>
      <c r="F319" s="40"/>
      <c r="G319" s="40"/>
      <c r="H319" s="40"/>
      <c r="I319" s="40"/>
      <c r="J319" s="63"/>
      <c r="K319" s="63"/>
    </row>
    <row r="320" spans="1:28" s="33" customFormat="1" x14ac:dyDescent="0.25">
      <c r="D320" s="40" t="s">
        <v>725</v>
      </c>
      <c r="E320" s="40" t="s">
        <v>39</v>
      </c>
      <c r="F320" s="40">
        <v>790</v>
      </c>
      <c r="G320" s="40" t="s">
        <v>726</v>
      </c>
      <c r="H320" s="40" t="s">
        <v>595</v>
      </c>
      <c r="I320" s="35">
        <v>41093</v>
      </c>
      <c r="J320" s="63">
        <v>3</v>
      </c>
      <c r="K320" s="63">
        <v>7</v>
      </c>
      <c r="L320" s="64">
        <v>2012</v>
      </c>
      <c r="M320" s="40" t="s">
        <v>56</v>
      </c>
      <c r="N320" s="40" t="s">
        <v>727</v>
      </c>
      <c r="O320" s="40" t="s">
        <v>31</v>
      </c>
      <c r="P320" s="30">
        <v>37528.880226898858</v>
      </c>
      <c r="S320" s="33">
        <v>3</v>
      </c>
      <c r="T320" s="30">
        <f t="shared" ref="T320:T345" si="36">(((P320)-1)/3)/12*0</f>
        <v>0</v>
      </c>
      <c r="U320" s="5">
        <v>37527.880226898858</v>
      </c>
      <c r="V320" s="5">
        <v>37527.880226898858</v>
      </c>
      <c r="W320" s="77">
        <f>+V320-U320</f>
        <v>0</v>
      </c>
      <c r="X320" s="77">
        <f t="shared" ref="X320:X345" si="37">P320-V320</f>
        <v>1</v>
      </c>
      <c r="Y320" s="33">
        <v>17212</v>
      </c>
      <c r="AB320" s="67">
        <f t="shared" ref="AB320:AB345" si="38">IF((DATEDIF(I320,AB$4,"m"))&gt;=36,36,(DATEDIF(I320,AB$4,"m")))</f>
        <v>36</v>
      </c>
    </row>
    <row r="321" spans="1:28" s="33" customFormat="1" x14ac:dyDescent="0.25">
      <c r="D321" s="40" t="s">
        <v>725</v>
      </c>
      <c r="E321" s="40" t="s">
        <v>39</v>
      </c>
      <c r="F321" s="40">
        <v>790</v>
      </c>
      <c r="G321" s="40" t="s">
        <v>728</v>
      </c>
      <c r="H321" s="40" t="s">
        <v>595</v>
      </c>
      <c r="I321" s="35">
        <v>41093</v>
      </c>
      <c r="J321" s="63">
        <v>3</v>
      </c>
      <c r="K321" s="63">
        <v>7</v>
      </c>
      <c r="L321" s="64">
        <v>2012</v>
      </c>
      <c r="M321" s="40" t="s">
        <v>56</v>
      </c>
      <c r="N321" s="40" t="s">
        <v>727</v>
      </c>
      <c r="O321" s="40" t="s">
        <v>31</v>
      </c>
      <c r="P321" s="30">
        <v>37528.880226898858</v>
      </c>
      <c r="S321" s="33">
        <v>3</v>
      </c>
      <c r="T321" s="30">
        <f t="shared" si="36"/>
        <v>0</v>
      </c>
      <c r="U321" s="5">
        <v>37527.880226898858</v>
      </c>
      <c r="V321" s="5">
        <v>37527.880226898858</v>
      </c>
      <c r="W321" s="77">
        <f t="shared" ref="W321:W345" si="39">+V321-U321</f>
        <v>0</v>
      </c>
      <c r="X321" s="77">
        <f t="shared" si="37"/>
        <v>1</v>
      </c>
      <c r="Y321" s="33">
        <v>17212</v>
      </c>
      <c r="AB321" s="67">
        <f t="shared" si="38"/>
        <v>36</v>
      </c>
    </row>
    <row r="322" spans="1:28" s="33" customFormat="1" x14ac:dyDescent="0.25">
      <c r="D322" s="40" t="s">
        <v>725</v>
      </c>
      <c r="E322" s="40" t="s">
        <v>39</v>
      </c>
      <c r="F322" s="40">
        <v>790</v>
      </c>
      <c r="G322" s="40" t="s">
        <v>729</v>
      </c>
      <c r="H322" s="40" t="s">
        <v>595</v>
      </c>
      <c r="I322" s="35">
        <v>41093</v>
      </c>
      <c r="J322" s="63">
        <v>3</v>
      </c>
      <c r="K322" s="63">
        <v>7</v>
      </c>
      <c r="L322" s="64">
        <v>2012</v>
      </c>
      <c r="M322" s="40" t="s">
        <v>56</v>
      </c>
      <c r="N322" s="40" t="s">
        <v>727</v>
      </c>
      <c r="O322" s="40" t="s">
        <v>31</v>
      </c>
      <c r="P322" s="30">
        <v>37528.880226898858</v>
      </c>
      <c r="S322" s="33">
        <v>3</v>
      </c>
      <c r="T322" s="30">
        <f t="shared" si="36"/>
        <v>0</v>
      </c>
      <c r="U322" s="5">
        <v>37527.880226898858</v>
      </c>
      <c r="V322" s="5">
        <v>37527.880226898858</v>
      </c>
      <c r="W322" s="77">
        <f t="shared" si="39"/>
        <v>0</v>
      </c>
      <c r="X322" s="77">
        <f t="shared" si="37"/>
        <v>1</v>
      </c>
      <c r="Y322" s="33">
        <v>17212</v>
      </c>
      <c r="AB322" s="67">
        <f t="shared" si="38"/>
        <v>36</v>
      </c>
    </row>
    <row r="323" spans="1:28" s="33" customFormat="1" x14ac:dyDescent="0.25">
      <c r="D323" s="40" t="s">
        <v>725</v>
      </c>
      <c r="E323" s="40" t="s">
        <v>39</v>
      </c>
      <c r="F323" s="40">
        <v>790</v>
      </c>
      <c r="G323" s="40" t="s">
        <v>730</v>
      </c>
      <c r="H323" s="40" t="s">
        <v>595</v>
      </c>
      <c r="I323" s="35">
        <v>41093</v>
      </c>
      <c r="J323" s="63">
        <v>3</v>
      </c>
      <c r="K323" s="63">
        <v>7</v>
      </c>
      <c r="L323" s="64">
        <v>2012</v>
      </c>
      <c r="M323" s="40" t="s">
        <v>56</v>
      </c>
      <c r="N323" s="40" t="s">
        <v>727</v>
      </c>
      <c r="O323" s="40" t="s">
        <v>31</v>
      </c>
      <c r="P323" s="30">
        <v>37528.880226898858</v>
      </c>
      <c r="S323" s="33">
        <v>3</v>
      </c>
      <c r="T323" s="30">
        <f t="shared" si="36"/>
        <v>0</v>
      </c>
      <c r="U323" s="5">
        <v>37527.880226898858</v>
      </c>
      <c r="V323" s="5">
        <v>37527.880226898858</v>
      </c>
      <c r="W323" s="77">
        <f t="shared" si="39"/>
        <v>0</v>
      </c>
      <c r="X323" s="77">
        <f t="shared" si="37"/>
        <v>1</v>
      </c>
      <c r="Y323" s="33">
        <v>17212</v>
      </c>
      <c r="AB323" s="67">
        <f t="shared" si="38"/>
        <v>36</v>
      </c>
    </row>
    <row r="324" spans="1:28" s="33" customFormat="1" x14ac:dyDescent="0.25">
      <c r="D324" s="40" t="s">
        <v>725</v>
      </c>
      <c r="E324" s="40" t="s">
        <v>39</v>
      </c>
      <c r="F324" s="40">
        <v>790</v>
      </c>
      <c r="G324" s="40" t="s">
        <v>731</v>
      </c>
      <c r="H324" s="40" t="s">
        <v>595</v>
      </c>
      <c r="I324" s="35">
        <v>41093</v>
      </c>
      <c r="J324" s="63">
        <v>3</v>
      </c>
      <c r="K324" s="63">
        <v>7</v>
      </c>
      <c r="L324" s="64">
        <v>2012</v>
      </c>
      <c r="M324" s="40" t="s">
        <v>56</v>
      </c>
      <c r="N324" s="40" t="s">
        <v>727</v>
      </c>
      <c r="O324" s="40" t="s">
        <v>31</v>
      </c>
      <c r="P324" s="30">
        <v>37528.880226898858</v>
      </c>
      <c r="S324" s="33">
        <v>3</v>
      </c>
      <c r="T324" s="30">
        <f t="shared" si="36"/>
        <v>0</v>
      </c>
      <c r="U324" s="5">
        <v>37527.880226898858</v>
      </c>
      <c r="V324" s="5">
        <v>37527.880226898858</v>
      </c>
      <c r="W324" s="77">
        <f t="shared" si="39"/>
        <v>0</v>
      </c>
      <c r="X324" s="77">
        <f t="shared" si="37"/>
        <v>1</v>
      </c>
      <c r="Y324" s="33">
        <v>17212</v>
      </c>
      <c r="AB324" s="67">
        <f t="shared" si="38"/>
        <v>36</v>
      </c>
    </row>
    <row r="325" spans="1:28" s="33" customFormat="1" x14ac:dyDescent="0.25">
      <c r="D325" s="40" t="s">
        <v>725</v>
      </c>
      <c r="E325" s="40" t="s">
        <v>39</v>
      </c>
      <c r="F325" s="40">
        <v>790</v>
      </c>
      <c r="G325" s="40" t="s">
        <v>732</v>
      </c>
      <c r="H325" s="40" t="s">
        <v>595</v>
      </c>
      <c r="I325" s="35">
        <v>41093</v>
      </c>
      <c r="J325" s="63">
        <v>3</v>
      </c>
      <c r="K325" s="63">
        <v>7</v>
      </c>
      <c r="L325" s="64">
        <v>2012</v>
      </c>
      <c r="M325" s="40" t="s">
        <v>56</v>
      </c>
      <c r="N325" s="40" t="s">
        <v>727</v>
      </c>
      <c r="O325" s="40" t="s">
        <v>31</v>
      </c>
      <c r="P325" s="30">
        <v>37528.880226898858</v>
      </c>
      <c r="S325" s="33">
        <v>3</v>
      </c>
      <c r="T325" s="30">
        <f t="shared" si="36"/>
        <v>0</v>
      </c>
      <c r="U325" s="5">
        <v>37527.880226898858</v>
      </c>
      <c r="V325" s="5">
        <v>37527.880226898858</v>
      </c>
      <c r="W325" s="77">
        <f t="shared" si="39"/>
        <v>0</v>
      </c>
      <c r="X325" s="77">
        <f t="shared" si="37"/>
        <v>1</v>
      </c>
      <c r="Y325" s="33">
        <v>17212</v>
      </c>
      <c r="AB325" s="67">
        <f t="shared" si="38"/>
        <v>36</v>
      </c>
    </row>
    <row r="326" spans="1:28" s="33" customFormat="1" x14ac:dyDescent="0.25">
      <c r="D326" s="40" t="s">
        <v>725</v>
      </c>
      <c r="E326" s="40" t="s">
        <v>39</v>
      </c>
      <c r="F326" s="40">
        <v>790</v>
      </c>
      <c r="G326" s="40" t="s">
        <v>733</v>
      </c>
      <c r="H326" s="40" t="s">
        <v>595</v>
      </c>
      <c r="I326" s="35">
        <v>41093</v>
      </c>
      <c r="J326" s="63">
        <v>3</v>
      </c>
      <c r="K326" s="63">
        <v>7</v>
      </c>
      <c r="L326" s="64">
        <v>2012</v>
      </c>
      <c r="M326" s="40" t="s">
        <v>56</v>
      </c>
      <c r="N326" s="40" t="s">
        <v>727</v>
      </c>
      <c r="O326" s="40" t="s">
        <v>31</v>
      </c>
      <c r="P326" s="30">
        <v>37528.880226898858</v>
      </c>
      <c r="S326" s="33">
        <v>3</v>
      </c>
      <c r="T326" s="30">
        <f t="shared" si="36"/>
        <v>0</v>
      </c>
      <c r="U326" s="5">
        <v>37527.880226898858</v>
      </c>
      <c r="V326" s="5">
        <v>37527.880226898858</v>
      </c>
      <c r="W326" s="77">
        <f t="shared" si="39"/>
        <v>0</v>
      </c>
      <c r="X326" s="77">
        <f t="shared" si="37"/>
        <v>1</v>
      </c>
      <c r="Y326" s="33">
        <v>17212</v>
      </c>
      <c r="AB326" s="67">
        <f t="shared" si="38"/>
        <v>36</v>
      </c>
    </row>
    <row r="327" spans="1:28" s="33" customFormat="1" x14ac:dyDescent="0.25">
      <c r="D327" s="40" t="s">
        <v>725</v>
      </c>
      <c r="E327" s="40" t="s">
        <v>39</v>
      </c>
      <c r="F327" s="40">
        <v>790</v>
      </c>
      <c r="G327" s="40" t="s">
        <v>734</v>
      </c>
      <c r="H327" s="40" t="s">
        <v>595</v>
      </c>
      <c r="I327" s="35">
        <v>41093</v>
      </c>
      <c r="J327" s="63">
        <v>3</v>
      </c>
      <c r="K327" s="63">
        <v>7</v>
      </c>
      <c r="L327" s="64">
        <v>2012</v>
      </c>
      <c r="M327" s="40" t="s">
        <v>56</v>
      </c>
      <c r="N327" s="40" t="s">
        <v>727</v>
      </c>
      <c r="O327" s="40" t="s">
        <v>31</v>
      </c>
      <c r="P327" s="30">
        <v>37528.880226898858</v>
      </c>
      <c r="S327" s="33">
        <v>3</v>
      </c>
      <c r="T327" s="30">
        <f t="shared" si="36"/>
        <v>0</v>
      </c>
      <c r="U327" s="5">
        <v>37527.880226898858</v>
      </c>
      <c r="V327" s="5">
        <v>37527.880226898858</v>
      </c>
      <c r="W327" s="77">
        <f t="shared" si="39"/>
        <v>0</v>
      </c>
      <c r="X327" s="77">
        <f t="shared" si="37"/>
        <v>1</v>
      </c>
      <c r="Y327" s="33">
        <v>17212</v>
      </c>
      <c r="AB327" s="67">
        <f t="shared" si="38"/>
        <v>36</v>
      </c>
    </row>
    <row r="328" spans="1:28" s="33" customFormat="1" x14ac:dyDescent="0.25">
      <c r="D328" s="40" t="s">
        <v>725</v>
      </c>
      <c r="E328" s="40" t="s">
        <v>39</v>
      </c>
      <c r="F328" s="40">
        <v>790</v>
      </c>
      <c r="G328" s="40" t="s">
        <v>735</v>
      </c>
      <c r="H328" s="40" t="s">
        <v>595</v>
      </c>
      <c r="I328" s="35">
        <v>41093</v>
      </c>
      <c r="J328" s="63">
        <v>3</v>
      </c>
      <c r="K328" s="63">
        <v>7</v>
      </c>
      <c r="L328" s="64">
        <v>2012</v>
      </c>
      <c r="M328" s="40" t="s">
        <v>56</v>
      </c>
      <c r="N328" s="40" t="s">
        <v>727</v>
      </c>
      <c r="O328" s="40" t="s">
        <v>31</v>
      </c>
      <c r="P328" s="30">
        <v>37528.880226898858</v>
      </c>
      <c r="S328" s="33">
        <v>3</v>
      </c>
      <c r="T328" s="30">
        <f t="shared" si="36"/>
        <v>0</v>
      </c>
      <c r="U328" s="5">
        <v>37527.880226898858</v>
      </c>
      <c r="V328" s="5">
        <v>37527.880226898858</v>
      </c>
      <c r="W328" s="77">
        <f t="shared" si="39"/>
        <v>0</v>
      </c>
      <c r="X328" s="77">
        <f t="shared" si="37"/>
        <v>1</v>
      </c>
      <c r="Y328" s="33">
        <v>17212</v>
      </c>
      <c r="AB328" s="67">
        <f t="shared" si="38"/>
        <v>36</v>
      </c>
    </row>
    <row r="329" spans="1:28" s="33" customFormat="1" x14ac:dyDescent="0.25">
      <c r="D329" s="40" t="s">
        <v>725</v>
      </c>
      <c r="E329" s="40" t="s">
        <v>39</v>
      </c>
      <c r="F329" s="40">
        <v>790</v>
      </c>
      <c r="G329" s="40" t="s">
        <v>736</v>
      </c>
      <c r="H329" s="40" t="s">
        <v>595</v>
      </c>
      <c r="I329" s="35">
        <v>41093</v>
      </c>
      <c r="J329" s="63">
        <v>3</v>
      </c>
      <c r="K329" s="63">
        <v>7</v>
      </c>
      <c r="L329" s="64">
        <v>2012</v>
      </c>
      <c r="M329" s="40" t="s">
        <v>56</v>
      </c>
      <c r="N329" s="40" t="s">
        <v>727</v>
      </c>
      <c r="O329" s="40" t="s">
        <v>31</v>
      </c>
      <c r="P329" s="30">
        <v>37528.880226898858</v>
      </c>
      <c r="R329" s="87"/>
      <c r="S329" s="33">
        <v>3</v>
      </c>
      <c r="T329" s="30">
        <f t="shared" si="36"/>
        <v>0</v>
      </c>
      <c r="U329" s="5">
        <v>37527.880226898858</v>
      </c>
      <c r="V329" s="5">
        <v>37527.880226898858</v>
      </c>
      <c r="W329" s="77">
        <f t="shared" si="39"/>
        <v>0</v>
      </c>
      <c r="X329" s="77">
        <f t="shared" si="37"/>
        <v>1</v>
      </c>
      <c r="Y329" s="33">
        <v>17212</v>
      </c>
      <c r="AB329" s="67">
        <f t="shared" si="38"/>
        <v>36</v>
      </c>
    </row>
    <row r="330" spans="1:28" s="33" customFormat="1" x14ac:dyDescent="0.25">
      <c r="D330" s="33" t="s">
        <v>737</v>
      </c>
      <c r="E330" s="40" t="s">
        <v>39</v>
      </c>
      <c r="F330" s="40" t="s">
        <v>738</v>
      </c>
      <c r="G330" s="40" t="s">
        <v>739</v>
      </c>
      <c r="H330" s="40" t="s">
        <v>595</v>
      </c>
      <c r="I330" s="35">
        <v>41093</v>
      </c>
      <c r="J330" s="63">
        <v>3</v>
      </c>
      <c r="K330" s="63">
        <v>7</v>
      </c>
      <c r="L330" s="64">
        <v>2012</v>
      </c>
      <c r="M330" s="40" t="s">
        <v>56</v>
      </c>
      <c r="N330" s="40" t="s">
        <v>727</v>
      </c>
      <c r="O330" s="40" t="s">
        <v>31</v>
      </c>
      <c r="P330" s="85">
        <v>4135.9997731011408</v>
      </c>
      <c r="R330" s="87"/>
      <c r="S330" s="33">
        <v>3</v>
      </c>
      <c r="T330" s="30">
        <f t="shared" si="36"/>
        <v>0</v>
      </c>
      <c r="U330" s="5">
        <v>4134.9997731011408</v>
      </c>
      <c r="V330" s="5">
        <v>4134.9997731011408</v>
      </c>
      <c r="W330" s="77">
        <f t="shared" si="39"/>
        <v>0</v>
      </c>
      <c r="X330" s="77">
        <f t="shared" si="37"/>
        <v>1</v>
      </c>
      <c r="Y330" s="33">
        <v>17212</v>
      </c>
      <c r="AB330" s="67">
        <f t="shared" si="38"/>
        <v>36</v>
      </c>
    </row>
    <row r="331" spans="1:28" s="33" customFormat="1" x14ac:dyDescent="0.25">
      <c r="D331" s="33" t="s">
        <v>737</v>
      </c>
      <c r="E331" s="40" t="s">
        <v>39</v>
      </c>
      <c r="F331" s="40" t="s">
        <v>738</v>
      </c>
      <c r="G331" s="40" t="s">
        <v>740</v>
      </c>
      <c r="H331" s="40" t="s">
        <v>595</v>
      </c>
      <c r="I331" s="35">
        <v>41093</v>
      </c>
      <c r="J331" s="63">
        <v>3</v>
      </c>
      <c r="K331" s="63">
        <v>7</v>
      </c>
      <c r="L331" s="64">
        <v>2012</v>
      </c>
      <c r="M331" s="40" t="s">
        <v>56</v>
      </c>
      <c r="N331" s="40" t="s">
        <v>727</v>
      </c>
      <c r="O331" s="40" t="s">
        <v>31</v>
      </c>
      <c r="P331" s="85">
        <v>4135.9997731011408</v>
      </c>
      <c r="R331" s="87"/>
      <c r="S331" s="33">
        <v>3</v>
      </c>
      <c r="T331" s="30">
        <f t="shared" si="36"/>
        <v>0</v>
      </c>
      <c r="U331" s="5">
        <v>4134.9997731011408</v>
      </c>
      <c r="V331" s="5">
        <v>4134.9997731011408</v>
      </c>
      <c r="W331" s="77">
        <f t="shared" si="39"/>
        <v>0</v>
      </c>
      <c r="X331" s="77">
        <f t="shared" si="37"/>
        <v>1</v>
      </c>
      <c r="Y331" s="33">
        <v>17212</v>
      </c>
      <c r="AB331" s="67">
        <f t="shared" si="38"/>
        <v>36</v>
      </c>
    </row>
    <row r="332" spans="1:28" s="33" customFormat="1" x14ac:dyDescent="0.25">
      <c r="D332" s="33" t="s">
        <v>737</v>
      </c>
      <c r="E332" s="40" t="s">
        <v>39</v>
      </c>
      <c r="F332" s="40" t="s">
        <v>738</v>
      </c>
      <c r="G332" s="40" t="s">
        <v>741</v>
      </c>
      <c r="H332" s="40" t="s">
        <v>595</v>
      </c>
      <c r="I332" s="35">
        <v>41093</v>
      </c>
      <c r="J332" s="63">
        <v>3</v>
      </c>
      <c r="K332" s="63">
        <v>7</v>
      </c>
      <c r="L332" s="64">
        <v>2012</v>
      </c>
      <c r="M332" s="40" t="s">
        <v>56</v>
      </c>
      <c r="N332" s="40" t="s">
        <v>727</v>
      </c>
      <c r="O332" s="40" t="s">
        <v>31</v>
      </c>
      <c r="P332" s="85">
        <v>4135.9997731011408</v>
      </c>
      <c r="R332" s="87"/>
      <c r="S332" s="33">
        <v>3</v>
      </c>
      <c r="T332" s="30">
        <f t="shared" si="36"/>
        <v>0</v>
      </c>
      <c r="U332" s="5">
        <v>4134.9997731011408</v>
      </c>
      <c r="V332" s="5">
        <v>4134.9997731011408</v>
      </c>
      <c r="W332" s="77">
        <f t="shared" si="39"/>
        <v>0</v>
      </c>
      <c r="X332" s="77">
        <f t="shared" si="37"/>
        <v>1</v>
      </c>
      <c r="Y332" s="33">
        <v>17212</v>
      </c>
      <c r="AB332" s="67">
        <f t="shared" si="38"/>
        <v>36</v>
      </c>
    </row>
    <row r="333" spans="1:28" x14ac:dyDescent="0.25">
      <c r="A333" s="33"/>
      <c r="B333" s="33"/>
      <c r="C333" s="33"/>
      <c r="D333" s="33" t="s">
        <v>737</v>
      </c>
      <c r="E333" s="40" t="s">
        <v>39</v>
      </c>
      <c r="F333" s="40" t="s">
        <v>738</v>
      </c>
      <c r="G333" s="40" t="s">
        <v>742</v>
      </c>
      <c r="H333" s="40" t="s">
        <v>595</v>
      </c>
      <c r="I333" s="35">
        <v>41093</v>
      </c>
      <c r="J333" s="63">
        <v>3</v>
      </c>
      <c r="K333" s="63">
        <v>7</v>
      </c>
      <c r="L333" s="64">
        <v>2012</v>
      </c>
      <c r="M333" s="40" t="s">
        <v>56</v>
      </c>
      <c r="N333" s="40" t="s">
        <v>727</v>
      </c>
      <c r="O333" s="40" t="s">
        <v>31</v>
      </c>
      <c r="P333" s="85">
        <v>4135.9997731011408</v>
      </c>
      <c r="R333" s="87"/>
      <c r="S333" s="33">
        <v>3</v>
      </c>
      <c r="T333" s="30">
        <f t="shared" si="36"/>
        <v>0</v>
      </c>
      <c r="U333" s="5">
        <v>4134.9997731011408</v>
      </c>
      <c r="V333" s="5">
        <v>4134.9997731011408</v>
      </c>
      <c r="W333" s="77">
        <f t="shared" si="39"/>
        <v>0</v>
      </c>
      <c r="X333" s="77">
        <f t="shared" si="37"/>
        <v>1</v>
      </c>
      <c r="Y333" s="33">
        <v>17212</v>
      </c>
      <c r="AB333" s="67">
        <f t="shared" si="38"/>
        <v>36</v>
      </c>
    </row>
    <row r="334" spans="1:28" x14ac:dyDescent="0.25">
      <c r="A334" s="33"/>
      <c r="B334" s="33"/>
      <c r="C334" s="33"/>
      <c r="D334" s="33" t="s">
        <v>737</v>
      </c>
      <c r="E334" s="40" t="s">
        <v>39</v>
      </c>
      <c r="F334" s="40" t="s">
        <v>738</v>
      </c>
      <c r="G334" s="40" t="s">
        <v>743</v>
      </c>
      <c r="H334" s="40" t="s">
        <v>595</v>
      </c>
      <c r="I334" s="35">
        <v>41093</v>
      </c>
      <c r="J334" s="63">
        <v>3</v>
      </c>
      <c r="K334" s="63">
        <v>7</v>
      </c>
      <c r="L334" s="64">
        <v>2012</v>
      </c>
      <c r="M334" s="40" t="s">
        <v>56</v>
      </c>
      <c r="N334" s="40" t="s">
        <v>727</v>
      </c>
      <c r="O334" s="40" t="s">
        <v>31</v>
      </c>
      <c r="P334" s="85">
        <v>4135.9997731011408</v>
      </c>
      <c r="R334" s="87"/>
      <c r="S334" s="33">
        <v>3</v>
      </c>
      <c r="T334" s="30">
        <f t="shared" si="36"/>
        <v>0</v>
      </c>
      <c r="U334" s="5">
        <v>4134.9997731011408</v>
      </c>
      <c r="V334" s="5">
        <v>4134.9997731011408</v>
      </c>
      <c r="W334" s="77">
        <f t="shared" si="39"/>
        <v>0</v>
      </c>
      <c r="X334" s="77">
        <f>P334-V334</f>
        <v>1</v>
      </c>
      <c r="Y334" s="33">
        <v>17212</v>
      </c>
      <c r="AB334" s="67">
        <f t="shared" si="38"/>
        <v>36</v>
      </c>
    </row>
    <row r="335" spans="1:28" x14ac:dyDescent="0.25">
      <c r="A335" s="33"/>
      <c r="B335" s="33"/>
      <c r="C335" s="33"/>
      <c r="D335" s="33" t="s">
        <v>737</v>
      </c>
      <c r="E335" s="40" t="s">
        <v>39</v>
      </c>
      <c r="F335" s="40" t="s">
        <v>738</v>
      </c>
      <c r="G335" s="40" t="s">
        <v>744</v>
      </c>
      <c r="H335" s="40" t="s">
        <v>595</v>
      </c>
      <c r="I335" s="35">
        <v>41093</v>
      </c>
      <c r="J335" s="63">
        <v>3</v>
      </c>
      <c r="K335" s="63">
        <v>7</v>
      </c>
      <c r="L335" s="64">
        <v>2012</v>
      </c>
      <c r="M335" s="40" t="s">
        <v>56</v>
      </c>
      <c r="N335" s="40" t="s">
        <v>727</v>
      </c>
      <c r="O335" s="40" t="s">
        <v>31</v>
      </c>
      <c r="P335" s="85">
        <v>4135.9997731011408</v>
      </c>
      <c r="R335" s="87"/>
      <c r="S335" s="33">
        <v>3</v>
      </c>
      <c r="T335" s="30">
        <f t="shared" si="36"/>
        <v>0</v>
      </c>
      <c r="U335" s="5">
        <v>4134.9997731011408</v>
      </c>
      <c r="V335" s="5">
        <v>4134.9997731011408</v>
      </c>
      <c r="W335" s="77">
        <f t="shared" si="39"/>
        <v>0</v>
      </c>
      <c r="X335" s="77">
        <f t="shared" si="37"/>
        <v>1</v>
      </c>
      <c r="Y335" s="33">
        <v>17212</v>
      </c>
      <c r="AB335" s="67">
        <f t="shared" si="38"/>
        <v>36</v>
      </c>
    </row>
    <row r="336" spans="1:28" x14ac:dyDescent="0.25">
      <c r="A336" s="33"/>
      <c r="B336" s="33"/>
      <c r="C336" s="33"/>
      <c r="D336" s="33" t="s">
        <v>737</v>
      </c>
      <c r="E336" s="40" t="s">
        <v>39</v>
      </c>
      <c r="F336" s="40" t="s">
        <v>738</v>
      </c>
      <c r="G336" s="40" t="s">
        <v>745</v>
      </c>
      <c r="H336" s="40" t="s">
        <v>595</v>
      </c>
      <c r="I336" s="35">
        <v>41093</v>
      </c>
      <c r="J336" s="63">
        <v>3</v>
      </c>
      <c r="K336" s="63">
        <v>7</v>
      </c>
      <c r="L336" s="64">
        <v>2012</v>
      </c>
      <c r="M336" s="40" t="s">
        <v>56</v>
      </c>
      <c r="N336" s="40" t="s">
        <v>727</v>
      </c>
      <c r="O336" s="40" t="s">
        <v>31</v>
      </c>
      <c r="P336" s="85">
        <v>4135.9997731011408</v>
      </c>
      <c r="R336" s="87"/>
      <c r="S336" s="33">
        <v>3</v>
      </c>
      <c r="T336" s="30">
        <f t="shared" si="36"/>
        <v>0</v>
      </c>
      <c r="U336" s="5">
        <v>4134.9997731011408</v>
      </c>
      <c r="V336" s="5">
        <v>4134.9997731011408</v>
      </c>
      <c r="W336" s="77">
        <f t="shared" si="39"/>
        <v>0</v>
      </c>
      <c r="X336" s="77">
        <f t="shared" si="37"/>
        <v>1</v>
      </c>
      <c r="Y336" s="33">
        <v>17212</v>
      </c>
      <c r="AB336" s="67">
        <f t="shared" si="38"/>
        <v>36</v>
      </c>
    </row>
    <row r="337" spans="1:28" x14ac:dyDescent="0.25">
      <c r="A337" s="33"/>
      <c r="B337" s="33"/>
      <c r="C337" s="33"/>
      <c r="D337" s="33" t="s">
        <v>737</v>
      </c>
      <c r="E337" s="40" t="s">
        <v>39</v>
      </c>
      <c r="F337" s="40" t="s">
        <v>738</v>
      </c>
      <c r="G337" s="40" t="s">
        <v>746</v>
      </c>
      <c r="H337" s="40" t="s">
        <v>595</v>
      </c>
      <c r="I337" s="35">
        <v>41093</v>
      </c>
      <c r="J337" s="63">
        <v>3</v>
      </c>
      <c r="K337" s="63">
        <v>7</v>
      </c>
      <c r="L337" s="64">
        <v>2012</v>
      </c>
      <c r="M337" s="40" t="s">
        <v>56</v>
      </c>
      <c r="N337" s="40" t="s">
        <v>727</v>
      </c>
      <c r="O337" s="40" t="s">
        <v>31</v>
      </c>
      <c r="P337" s="85">
        <v>4135.9997731011408</v>
      </c>
      <c r="R337" s="87"/>
      <c r="S337" s="33">
        <v>3</v>
      </c>
      <c r="T337" s="30">
        <f t="shared" si="36"/>
        <v>0</v>
      </c>
      <c r="U337" s="5">
        <v>4134.9997731011408</v>
      </c>
      <c r="V337" s="5">
        <v>4134.9997731011408</v>
      </c>
      <c r="W337" s="77">
        <f t="shared" si="39"/>
        <v>0</v>
      </c>
      <c r="X337" s="77">
        <f t="shared" si="37"/>
        <v>1</v>
      </c>
      <c r="Y337" s="33">
        <v>17212</v>
      </c>
      <c r="AB337" s="67">
        <f t="shared" si="38"/>
        <v>36</v>
      </c>
    </row>
    <row r="338" spans="1:28" x14ac:dyDescent="0.25">
      <c r="A338" s="33"/>
      <c r="B338" s="33"/>
      <c r="C338" s="33"/>
      <c r="D338" s="33" t="s">
        <v>737</v>
      </c>
      <c r="E338" s="40" t="s">
        <v>39</v>
      </c>
      <c r="F338" s="40" t="s">
        <v>738</v>
      </c>
      <c r="G338" s="40" t="s">
        <v>747</v>
      </c>
      <c r="H338" s="40" t="s">
        <v>595</v>
      </c>
      <c r="I338" s="35">
        <v>41093</v>
      </c>
      <c r="J338" s="63">
        <v>3</v>
      </c>
      <c r="K338" s="63">
        <v>7</v>
      </c>
      <c r="L338" s="64">
        <v>2012</v>
      </c>
      <c r="M338" s="40" t="s">
        <v>56</v>
      </c>
      <c r="N338" s="40" t="s">
        <v>727</v>
      </c>
      <c r="O338" s="40" t="s">
        <v>31</v>
      </c>
      <c r="P338" s="85">
        <v>4135.9997731011408</v>
      </c>
      <c r="R338" s="87"/>
      <c r="S338" s="33">
        <v>3</v>
      </c>
      <c r="T338" s="30">
        <f t="shared" si="36"/>
        <v>0</v>
      </c>
      <c r="U338" s="5">
        <v>4134.9997731011408</v>
      </c>
      <c r="V338" s="5">
        <v>4134.9997731011408</v>
      </c>
      <c r="W338" s="77">
        <f t="shared" si="39"/>
        <v>0</v>
      </c>
      <c r="X338" s="77">
        <f t="shared" si="37"/>
        <v>1</v>
      </c>
      <c r="Y338" s="33">
        <v>17212</v>
      </c>
      <c r="AB338" s="67">
        <f t="shared" si="38"/>
        <v>36</v>
      </c>
    </row>
    <row r="339" spans="1:28" x14ac:dyDescent="0.25">
      <c r="A339" s="40"/>
      <c r="B339" s="40"/>
      <c r="C339" s="40"/>
      <c r="D339" s="33" t="s">
        <v>737</v>
      </c>
      <c r="E339" s="40" t="s">
        <v>39</v>
      </c>
      <c r="F339" s="40" t="s">
        <v>738</v>
      </c>
      <c r="G339" s="40" t="s">
        <v>748</v>
      </c>
      <c r="H339" s="40" t="s">
        <v>595</v>
      </c>
      <c r="I339" s="35">
        <v>41093</v>
      </c>
      <c r="J339" s="63">
        <v>3</v>
      </c>
      <c r="K339" s="63">
        <v>7</v>
      </c>
      <c r="L339" s="64">
        <v>2012</v>
      </c>
      <c r="M339" s="40" t="s">
        <v>56</v>
      </c>
      <c r="N339" s="40" t="s">
        <v>727</v>
      </c>
      <c r="O339" s="40" t="s">
        <v>31</v>
      </c>
      <c r="P339" s="85">
        <v>4135.9997731011408</v>
      </c>
      <c r="R339" s="87"/>
      <c r="S339" s="33">
        <v>3</v>
      </c>
      <c r="T339" s="30">
        <f t="shared" si="36"/>
        <v>0</v>
      </c>
      <c r="U339" s="5">
        <v>4134.9997731011408</v>
      </c>
      <c r="V339" s="5">
        <v>4134.9997731011408</v>
      </c>
      <c r="W339" s="77">
        <f t="shared" si="39"/>
        <v>0</v>
      </c>
      <c r="X339" s="77">
        <f t="shared" si="37"/>
        <v>1</v>
      </c>
      <c r="Y339" s="33">
        <v>17212</v>
      </c>
      <c r="AB339" s="67">
        <f t="shared" si="38"/>
        <v>36</v>
      </c>
    </row>
    <row r="340" spans="1:28" x14ac:dyDescent="0.25">
      <c r="A340" s="40"/>
      <c r="B340" s="40"/>
      <c r="C340" s="40"/>
      <c r="D340" s="40" t="s">
        <v>749</v>
      </c>
      <c r="E340" s="40" t="s">
        <v>750</v>
      </c>
      <c r="F340" s="40">
        <v>35439</v>
      </c>
      <c r="G340" s="40"/>
      <c r="H340" s="40" t="s">
        <v>595</v>
      </c>
      <c r="I340" s="35">
        <v>41093</v>
      </c>
      <c r="J340" s="63">
        <v>3</v>
      </c>
      <c r="K340" s="63">
        <v>7</v>
      </c>
      <c r="L340" s="64">
        <v>2012</v>
      </c>
      <c r="M340" s="40" t="s">
        <v>56</v>
      </c>
      <c r="N340" s="40" t="s">
        <v>727</v>
      </c>
      <c r="O340" s="40" t="s">
        <v>31</v>
      </c>
      <c r="P340" s="85">
        <v>46977.684399999998</v>
      </c>
      <c r="R340" s="87"/>
      <c r="S340" s="33">
        <v>3</v>
      </c>
      <c r="T340" s="30">
        <f t="shared" si="36"/>
        <v>0</v>
      </c>
      <c r="U340" s="5">
        <v>46976.684399999998</v>
      </c>
      <c r="V340" s="5">
        <v>46976.684399999998</v>
      </c>
      <c r="W340" s="77">
        <f t="shared" si="39"/>
        <v>0</v>
      </c>
      <c r="X340" s="77">
        <f t="shared" si="37"/>
        <v>1</v>
      </c>
      <c r="Y340" s="33">
        <v>17212</v>
      </c>
      <c r="AB340" s="67">
        <f t="shared" si="38"/>
        <v>36</v>
      </c>
    </row>
    <row r="341" spans="1:28" x14ac:dyDescent="0.25">
      <c r="A341" s="40" t="s">
        <v>751</v>
      </c>
      <c r="B341" s="40"/>
      <c r="C341" s="40"/>
      <c r="D341" s="40" t="s">
        <v>749</v>
      </c>
      <c r="E341" s="40" t="s">
        <v>750</v>
      </c>
      <c r="F341" s="40">
        <v>35439</v>
      </c>
      <c r="G341" s="40"/>
      <c r="H341" s="40" t="s">
        <v>595</v>
      </c>
      <c r="I341" s="35">
        <v>41093</v>
      </c>
      <c r="J341" s="63">
        <v>3</v>
      </c>
      <c r="K341" s="63">
        <v>7</v>
      </c>
      <c r="L341" s="64">
        <v>2012</v>
      </c>
      <c r="M341" s="40" t="s">
        <v>56</v>
      </c>
      <c r="N341" s="40" t="s">
        <v>727</v>
      </c>
      <c r="O341" s="40" t="s">
        <v>31</v>
      </c>
      <c r="P341" s="85">
        <v>46977.684399999998</v>
      </c>
      <c r="R341" s="87"/>
      <c r="S341" s="33">
        <v>3</v>
      </c>
      <c r="T341" s="30">
        <f t="shared" si="36"/>
        <v>0</v>
      </c>
      <c r="U341" s="5">
        <v>46976.684399999998</v>
      </c>
      <c r="V341" s="5">
        <v>46976.684399999998</v>
      </c>
      <c r="W341" s="77">
        <f t="shared" si="39"/>
        <v>0</v>
      </c>
      <c r="X341" s="77">
        <f t="shared" si="37"/>
        <v>1</v>
      </c>
      <c r="Y341" s="33">
        <v>17212</v>
      </c>
      <c r="AB341" s="67">
        <f t="shared" si="38"/>
        <v>36</v>
      </c>
    </row>
    <row r="342" spans="1:28" x14ac:dyDescent="0.25">
      <c r="A342" s="40"/>
      <c r="B342" s="40"/>
      <c r="C342" s="40"/>
      <c r="D342" s="62" t="s">
        <v>752</v>
      </c>
      <c r="E342" s="40" t="s">
        <v>680</v>
      </c>
      <c r="F342" s="40" t="s">
        <v>753</v>
      </c>
      <c r="G342" s="40" t="s">
        <v>754</v>
      </c>
      <c r="H342" s="40" t="s">
        <v>595</v>
      </c>
      <c r="I342" s="35">
        <v>41120</v>
      </c>
      <c r="J342" s="63">
        <v>30</v>
      </c>
      <c r="K342" s="63">
        <v>7</v>
      </c>
      <c r="L342" s="64">
        <v>2012</v>
      </c>
      <c r="M342" s="40" t="s">
        <v>56</v>
      </c>
      <c r="N342" s="40" t="s">
        <v>755</v>
      </c>
      <c r="O342" s="40" t="s">
        <v>31</v>
      </c>
      <c r="P342" s="30">
        <v>23223.200000000001</v>
      </c>
      <c r="S342" s="52">
        <v>3</v>
      </c>
      <c r="T342" s="30">
        <f t="shared" si="36"/>
        <v>0</v>
      </c>
      <c r="U342" s="5">
        <v>23222.2</v>
      </c>
      <c r="V342" s="5">
        <v>23222.2</v>
      </c>
      <c r="W342" s="77">
        <f t="shared" si="39"/>
        <v>0</v>
      </c>
      <c r="X342" s="77">
        <f t="shared" si="37"/>
        <v>1</v>
      </c>
      <c r="Y342" s="33">
        <v>17320</v>
      </c>
      <c r="AB342" s="67">
        <f t="shared" si="38"/>
        <v>36</v>
      </c>
    </row>
    <row r="343" spans="1:28" x14ac:dyDescent="0.25">
      <c r="A343" s="40"/>
      <c r="B343" s="40"/>
      <c r="C343" s="40"/>
      <c r="D343" s="40" t="s">
        <v>756</v>
      </c>
      <c r="E343" s="40"/>
      <c r="F343" s="40" t="s">
        <v>757</v>
      </c>
      <c r="G343" s="40"/>
      <c r="H343" s="40" t="s">
        <v>595</v>
      </c>
      <c r="I343" s="35">
        <v>41120</v>
      </c>
      <c r="J343" s="63">
        <v>30</v>
      </c>
      <c r="K343" s="63">
        <v>7</v>
      </c>
      <c r="L343" s="64">
        <v>2012</v>
      </c>
      <c r="M343" s="40" t="s">
        <v>56</v>
      </c>
      <c r="N343" s="40" t="s">
        <v>755</v>
      </c>
      <c r="O343" s="40" t="s">
        <v>31</v>
      </c>
      <c r="P343" s="30">
        <v>7180.4</v>
      </c>
      <c r="Q343" s="51"/>
      <c r="R343" s="51"/>
      <c r="S343" s="52">
        <v>3</v>
      </c>
      <c r="T343" s="30">
        <f t="shared" si="36"/>
        <v>0</v>
      </c>
      <c r="U343" s="5">
        <v>7179.4</v>
      </c>
      <c r="V343" s="5">
        <v>7179.4</v>
      </c>
      <c r="W343" s="77">
        <f t="shared" si="39"/>
        <v>0</v>
      </c>
      <c r="X343" s="77">
        <f t="shared" si="37"/>
        <v>1</v>
      </c>
      <c r="Y343" s="51">
        <v>17320</v>
      </c>
      <c r="AB343" s="67">
        <f t="shared" si="38"/>
        <v>36</v>
      </c>
    </row>
    <row r="344" spans="1:28" x14ac:dyDescent="0.25">
      <c r="A344" s="40"/>
      <c r="B344" s="40"/>
      <c r="C344" s="40"/>
      <c r="D344" s="62"/>
      <c r="E344" s="62"/>
      <c r="F344" s="62"/>
      <c r="G344" s="40"/>
      <c r="H344" s="40"/>
      <c r="I344" s="35"/>
      <c r="J344" s="63"/>
      <c r="K344" s="63"/>
      <c r="L344" s="64"/>
      <c r="M344" s="40"/>
      <c r="N344" s="40"/>
      <c r="O344" s="40"/>
      <c r="P344" s="30"/>
      <c r="T344" s="30"/>
      <c r="V344" s="5"/>
      <c r="W344" s="77"/>
      <c r="X344" s="77"/>
      <c r="Y344" s="33"/>
      <c r="AB344" s="67"/>
    </row>
    <row r="345" spans="1:28" x14ac:dyDescent="0.25">
      <c r="A345" s="33"/>
      <c r="B345" s="33"/>
      <c r="C345" s="33"/>
      <c r="D345" s="62" t="s">
        <v>758</v>
      </c>
      <c r="E345" s="40" t="s">
        <v>28</v>
      </c>
      <c r="F345" s="40" t="s">
        <v>759</v>
      </c>
      <c r="G345" s="89" t="s">
        <v>760</v>
      </c>
      <c r="H345" s="90" t="s">
        <v>139</v>
      </c>
      <c r="I345" s="35">
        <v>41190</v>
      </c>
      <c r="J345" s="63">
        <v>8</v>
      </c>
      <c r="K345" s="63">
        <v>10</v>
      </c>
      <c r="L345" s="64">
        <v>2012</v>
      </c>
      <c r="M345" s="40" t="s">
        <v>761</v>
      </c>
      <c r="N345" s="90" t="s">
        <v>762</v>
      </c>
      <c r="O345" s="40" t="s">
        <v>31</v>
      </c>
      <c r="P345" s="91">
        <v>6440</v>
      </c>
      <c r="S345" s="52">
        <v>3</v>
      </c>
      <c r="T345" s="30">
        <f t="shared" si="36"/>
        <v>0</v>
      </c>
      <c r="U345" s="5">
        <v>6439</v>
      </c>
      <c r="V345" s="5">
        <v>6439</v>
      </c>
      <c r="W345" s="77">
        <f t="shared" si="39"/>
        <v>0</v>
      </c>
      <c r="X345" s="77">
        <f t="shared" si="37"/>
        <v>1</v>
      </c>
      <c r="Y345" s="93">
        <v>17565</v>
      </c>
      <c r="AB345" s="67">
        <f t="shared" si="38"/>
        <v>36</v>
      </c>
    </row>
    <row r="346" spans="1:28" x14ac:dyDescent="0.25">
      <c r="A346" s="33"/>
      <c r="B346" s="33"/>
      <c r="C346" s="33"/>
      <c r="D346" s="62"/>
      <c r="E346" s="40"/>
      <c r="F346" s="40"/>
      <c r="G346" s="89"/>
      <c r="H346" s="90"/>
      <c r="I346" s="35"/>
      <c r="J346" s="63"/>
      <c r="K346" s="63"/>
      <c r="L346" s="64"/>
      <c r="M346" s="40"/>
      <c r="N346" s="90"/>
      <c r="O346" s="40"/>
      <c r="P346" s="26">
        <f>SUM(P320:P345)</f>
        <v>547447.76879999985</v>
      </c>
      <c r="Q346" s="28"/>
      <c r="R346" s="28"/>
      <c r="S346" s="28"/>
      <c r="T346" s="26">
        <f>SUM(T320:T345)</f>
        <v>0</v>
      </c>
      <c r="U346" s="26">
        <v>547422.76879999985</v>
      </c>
      <c r="V346" s="26">
        <f>SUM(V320:V345)</f>
        <v>547422.76879999985</v>
      </c>
      <c r="W346" s="26">
        <f>SUM(W320:W345)</f>
        <v>0</v>
      </c>
      <c r="X346" s="26">
        <f>SUM(X320:X345)</f>
        <v>25</v>
      </c>
      <c r="AB346" s="67"/>
    </row>
    <row r="347" spans="1:28" x14ac:dyDescent="0.25">
      <c r="A347" s="33"/>
      <c r="B347" s="33"/>
      <c r="C347" s="33"/>
      <c r="D347" s="62"/>
      <c r="E347" s="40"/>
      <c r="F347" s="40"/>
      <c r="G347" s="89"/>
      <c r="H347" s="90"/>
      <c r="I347" s="35"/>
      <c r="J347" s="63"/>
      <c r="K347" s="63"/>
      <c r="L347" s="64"/>
      <c r="M347" s="40"/>
      <c r="N347" s="90"/>
      <c r="O347" s="40"/>
      <c r="P347" s="91"/>
      <c r="T347" s="30"/>
      <c r="V347" s="77"/>
      <c r="W347" s="77"/>
      <c r="X347" s="77"/>
      <c r="AB347" s="67"/>
    </row>
    <row r="348" spans="1:28" s="33" customFormat="1" x14ac:dyDescent="0.25">
      <c r="A348" s="40"/>
      <c r="B348" s="40"/>
      <c r="C348" s="40"/>
      <c r="D348" s="40" t="s">
        <v>763</v>
      </c>
      <c r="E348" s="40" t="s">
        <v>764</v>
      </c>
      <c r="F348" s="40" t="s">
        <v>765</v>
      </c>
      <c r="G348" s="40" t="s">
        <v>766</v>
      </c>
      <c r="H348" s="40" t="s">
        <v>767</v>
      </c>
      <c r="I348" s="35">
        <v>41366</v>
      </c>
      <c r="J348" s="63">
        <v>2</v>
      </c>
      <c r="K348" s="63">
        <v>4</v>
      </c>
      <c r="L348" s="64">
        <v>2013</v>
      </c>
      <c r="M348" s="40"/>
      <c r="N348" s="40" t="s">
        <v>768</v>
      </c>
      <c r="O348" s="40"/>
      <c r="P348" s="28">
        <v>992749.88</v>
      </c>
      <c r="R348" s="87">
        <f>+R346-R345</f>
        <v>0</v>
      </c>
      <c r="S348" s="52">
        <v>3</v>
      </c>
      <c r="T348" s="30">
        <f t="shared" ref="T348:T356" si="40">(((P348)-1)/3)/12</f>
        <v>27576.357777777779</v>
      </c>
      <c r="U348" s="5">
        <v>882443.44888888893</v>
      </c>
      <c r="V348" s="77">
        <f t="shared" ref="V348:V356" si="41">T348*AB348</f>
        <v>910019.80666666676</v>
      </c>
      <c r="W348" s="77">
        <f t="shared" ref="W348:W356" si="42">+V348-U348</f>
        <v>27576.357777777826</v>
      </c>
      <c r="X348" s="77">
        <f t="shared" ref="X348:X356" si="43">P348-V348</f>
        <v>82730.073333333246</v>
      </c>
      <c r="Y348" s="93">
        <v>18050</v>
      </c>
      <c r="AB348" s="67">
        <f t="shared" ref="AB348:AB362" si="44">IF((DATEDIF(I348,AB$4,"m"))&gt;=36,36,(DATEDIF(I348,AB$4,"m")))</f>
        <v>33</v>
      </c>
    </row>
    <row r="349" spans="1:28" s="33" customFormat="1" ht="31.5" x14ac:dyDescent="0.25">
      <c r="A349" s="40"/>
      <c r="B349" s="40"/>
      <c r="C349" s="40"/>
      <c r="D349" s="586" t="s">
        <v>769</v>
      </c>
      <c r="E349" s="40"/>
      <c r="F349" s="40"/>
      <c r="G349" s="40"/>
      <c r="H349" s="40" t="s">
        <v>770</v>
      </c>
      <c r="I349" s="35">
        <v>41408</v>
      </c>
      <c r="J349" s="63">
        <v>14</v>
      </c>
      <c r="K349" s="63">
        <v>5</v>
      </c>
      <c r="L349" s="64">
        <v>2013</v>
      </c>
      <c r="M349" s="40" t="s">
        <v>56</v>
      </c>
      <c r="N349" s="62" t="s">
        <v>771</v>
      </c>
      <c r="O349" s="40" t="s">
        <v>31</v>
      </c>
      <c r="P349" s="30">
        <v>981901.6</v>
      </c>
      <c r="S349" s="52">
        <v>3</v>
      </c>
      <c r="T349" s="30">
        <f t="shared" si="40"/>
        <v>27275.016666666666</v>
      </c>
      <c r="U349" s="5">
        <v>845525.5166666666</v>
      </c>
      <c r="V349" s="77">
        <f t="shared" si="41"/>
        <v>872800.53333333333</v>
      </c>
      <c r="W349" s="77">
        <f t="shared" si="42"/>
        <v>27275.016666666721</v>
      </c>
      <c r="X349" s="77">
        <f t="shared" si="43"/>
        <v>109101.06666666665</v>
      </c>
      <c r="Y349" s="92" t="s">
        <v>772</v>
      </c>
      <c r="AB349" s="67">
        <f t="shared" si="44"/>
        <v>32</v>
      </c>
    </row>
    <row r="350" spans="1:28" s="51" customFormat="1" x14ac:dyDescent="0.25">
      <c r="A350" s="40"/>
      <c r="B350" s="40"/>
      <c r="C350" s="40"/>
      <c r="D350" s="587" t="s">
        <v>773</v>
      </c>
      <c r="E350" s="40" t="s">
        <v>774</v>
      </c>
      <c r="F350" s="40" t="s">
        <v>775</v>
      </c>
      <c r="G350" s="40" t="s">
        <v>776</v>
      </c>
      <c r="H350" s="40" t="s">
        <v>777</v>
      </c>
      <c r="I350" s="35">
        <v>41416</v>
      </c>
      <c r="J350" s="63">
        <v>22</v>
      </c>
      <c r="K350" s="63">
        <v>5</v>
      </c>
      <c r="L350" s="64">
        <v>2013</v>
      </c>
      <c r="M350" s="40" t="s">
        <v>56</v>
      </c>
      <c r="N350" s="40" t="s">
        <v>778</v>
      </c>
      <c r="O350" s="40" t="s">
        <v>31</v>
      </c>
      <c r="P350" s="30">
        <v>62473.305899999999</v>
      </c>
      <c r="S350" s="52">
        <v>3</v>
      </c>
      <c r="T350" s="30">
        <f t="shared" si="40"/>
        <v>1735.3418305555554</v>
      </c>
      <c r="U350" s="5">
        <v>53795.596747222218</v>
      </c>
      <c r="V350" s="77">
        <f t="shared" si="41"/>
        <v>55530.938577777772</v>
      </c>
      <c r="W350" s="77">
        <f t="shared" si="42"/>
        <v>1735.3418305555533</v>
      </c>
      <c r="X350" s="77">
        <f t="shared" si="43"/>
        <v>6942.3673222222278</v>
      </c>
      <c r="Y350" s="93" t="s">
        <v>779</v>
      </c>
      <c r="AB350" s="67">
        <f t="shared" si="44"/>
        <v>32</v>
      </c>
    </row>
    <row r="351" spans="1:28" s="51" customFormat="1" x14ac:dyDescent="0.25">
      <c r="A351" s="40"/>
      <c r="B351" s="40"/>
      <c r="C351" s="40"/>
      <c r="D351" s="587" t="s">
        <v>773</v>
      </c>
      <c r="E351" s="40" t="s">
        <v>774</v>
      </c>
      <c r="F351" s="40" t="s">
        <v>775</v>
      </c>
      <c r="G351" s="40" t="s">
        <v>780</v>
      </c>
      <c r="H351" s="40" t="s">
        <v>777</v>
      </c>
      <c r="I351" s="35">
        <v>41416</v>
      </c>
      <c r="J351" s="63">
        <v>22</v>
      </c>
      <c r="K351" s="63">
        <v>5</v>
      </c>
      <c r="L351" s="64">
        <v>2013</v>
      </c>
      <c r="M351" s="40" t="s">
        <v>56</v>
      </c>
      <c r="N351" s="40" t="s">
        <v>778</v>
      </c>
      <c r="O351" s="40" t="s">
        <v>31</v>
      </c>
      <c r="P351" s="30">
        <v>62473.305899999999</v>
      </c>
      <c r="S351" s="52">
        <v>3</v>
      </c>
      <c r="T351" s="30">
        <f t="shared" si="40"/>
        <v>1735.3418305555554</v>
      </c>
      <c r="U351" s="5">
        <v>53795.596747222218</v>
      </c>
      <c r="V351" s="77">
        <f t="shared" si="41"/>
        <v>55530.938577777772</v>
      </c>
      <c r="W351" s="77">
        <f t="shared" si="42"/>
        <v>1735.3418305555533</v>
      </c>
      <c r="X351" s="77">
        <f t="shared" si="43"/>
        <v>6942.3673222222278</v>
      </c>
      <c r="Y351" s="93" t="s">
        <v>779</v>
      </c>
      <c r="AB351" s="67">
        <f t="shared" si="44"/>
        <v>32</v>
      </c>
    </row>
    <row r="352" spans="1:28" s="51" customFormat="1" x14ac:dyDescent="0.25">
      <c r="A352" s="40"/>
      <c r="B352" s="40"/>
      <c r="C352" s="40"/>
      <c r="D352" s="587" t="s">
        <v>773</v>
      </c>
      <c r="E352" s="40" t="s">
        <v>774</v>
      </c>
      <c r="F352" s="40" t="s">
        <v>775</v>
      </c>
      <c r="G352" s="40" t="s">
        <v>781</v>
      </c>
      <c r="H352" s="40" t="s">
        <v>777</v>
      </c>
      <c r="I352" s="35">
        <v>41416</v>
      </c>
      <c r="J352" s="63">
        <v>22</v>
      </c>
      <c r="K352" s="63">
        <v>5</v>
      </c>
      <c r="L352" s="64">
        <v>2013</v>
      </c>
      <c r="M352" s="40" t="s">
        <v>56</v>
      </c>
      <c r="N352" s="40" t="s">
        <v>778</v>
      </c>
      <c r="O352" s="40" t="s">
        <v>31</v>
      </c>
      <c r="P352" s="30">
        <v>62473.305899999999</v>
      </c>
      <c r="S352" s="52">
        <v>3</v>
      </c>
      <c r="T352" s="30">
        <f t="shared" si="40"/>
        <v>1735.3418305555554</v>
      </c>
      <c r="U352" s="5">
        <v>53795.596747222218</v>
      </c>
      <c r="V352" s="77">
        <f t="shared" si="41"/>
        <v>55530.938577777772</v>
      </c>
      <c r="W352" s="77">
        <f t="shared" si="42"/>
        <v>1735.3418305555533</v>
      </c>
      <c r="X352" s="77">
        <f t="shared" si="43"/>
        <v>6942.3673222222278</v>
      </c>
      <c r="Y352" s="93" t="s">
        <v>779</v>
      </c>
      <c r="AB352" s="67">
        <f t="shared" si="44"/>
        <v>32</v>
      </c>
    </row>
    <row r="353" spans="1:28" s="51" customFormat="1" x14ac:dyDescent="0.25">
      <c r="A353" s="40"/>
      <c r="B353" s="40"/>
      <c r="C353" s="40"/>
      <c r="D353" s="587" t="s">
        <v>773</v>
      </c>
      <c r="E353" s="40" t="s">
        <v>774</v>
      </c>
      <c r="F353" s="40" t="s">
        <v>775</v>
      </c>
      <c r="G353" s="40" t="s">
        <v>782</v>
      </c>
      <c r="H353" s="40" t="s">
        <v>777</v>
      </c>
      <c r="I353" s="35">
        <v>41416</v>
      </c>
      <c r="J353" s="63">
        <v>22</v>
      </c>
      <c r="K353" s="63">
        <v>5</v>
      </c>
      <c r="L353" s="64">
        <v>2013</v>
      </c>
      <c r="M353" s="40" t="s">
        <v>56</v>
      </c>
      <c r="N353" s="40" t="s">
        <v>778</v>
      </c>
      <c r="O353" s="40" t="s">
        <v>31</v>
      </c>
      <c r="P353" s="30">
        <v>62473.305899999999</v>
      </c>
      <c r="S353" s="52">
        <v>3</v>
      </c>
      <c r="T353" s="30">
        <f t="shared" si="40"/>
        <v>1735.3418305555554</v>
      </c>
      <c r="U353" s="5">
        <v>53795.596747222218</v>
      </c>
      <c r="V353" s="77">
        <f t="shared" si="41"/>
        <v>55530.938577777772</v>
      </c>
      <c r="W353" s="77">
        <f t="shared" si="42"/>
        <v>1735.3418305555533</v>
      </c>
      <c r="X353" s="77">
        <f t="shared" si="43"/>
        <v>6942.3673222222278</v>
      </c>
      <c r="Y353" s="93" t="s">
        <v>779</v>
      </c>
      <c r="AB353" s="67">
        <f t="shared" si="44"/>
        <v>32</v>
      </c>
    </row>
    <row r="354" spans="1:28" s="51" customFormat="1" x14ac:dyDescent="0.25">
      <c r="A354" s="40"/>
      <c r="B354" s="40"/>
      <c r="C354" s="40"/>
      <c r="D354" s="587" t="s">
        <v>773</v>
      </c>
      <c r="E354" s="40" t="s">
        <v>774</v>
      </c>
      <c r="F354" s="40" t="s">
        <v>775</v>
      </c>
      <c r="G354" s="40" t="s">
        <v>783</v>
      </c>
      <c r="H354" s="40" t="s">
        <v>777</v>
      </c>
      <c r="I354" s="35">
        <v>41416</v>
      </c>
      <c r="J354" s="63">
        <v>22</v>
      </c>
      <c r="K354" s="63">
        <v>5</v>
      </c>
      <c r="L354" s="64">
        <v>2013</v>
      </c>
      <c r="M354" s="40" t="s">
        <v>56</v>
      </c>
      <c r="N354" s="40" t="s">
        <v>778</v>
      </c>
      <c r="O354" s="40" t="s">
        <v>31</v>
      </c>
      <c r="P354" s="30">
        <v>62473.305899999999</v>
      </c>
      <c r="S354" s="52">
        <v>3</v>
      </c>
      <c r="T354" s="30">
        <f t="shared" si="40"/>
        <v>1735.3418305555554</v>
      </c>
      <c r="U354" s="5">
        <v>53795.596747222218</v>
      </c>
      <c r="V354" s="77">
        <f t="shared" si="41"/>
        <v>55530.938577777772</v>
      </c>
      <c r="W354" s="77">
        <f t="shared" si="42"/>
        <v>1735.3418305555533</v>
      </c>
      <c r="X354" s="77">
        <f t="shared" si="43"/>
        <v>6942.3673222222278</v>
      </c>
      <c r="Y354" s="93" t="s">
        <v>779</v>
      </c>
      <c r="AB354" s="67">
        <f t="shared" si="44"/>
        <v>32</v>
      </c>
    </row>
    <row r="355" spans="1:28" s="51" customFormat="1" x14ac:dyDescent="0.25">
      <c r="A355" s="40"/>
      <c r="B355" s="40"/>
      <c r="C355" s="40"/>
      <c r="D355" s="587" t="s">
        <v>773</v>
      </c>
      <c r="E355" s="40" t="s">
        <v>774</v>
      </c>
      <c r="F355" s="40" t="s">
        <v>775</v>
      </c>
      <c r="G355" s="40" t="s">
        <v>784</v>
      </c>
      <c r="H355" s="40" t="s">
        <v>777</v>
      </c>
      <c r="I355" s="35">
        <v>41416</v>
      </c>
      <c r="J355" s="63">
        <v>22</v>
      </c>
      <c r="K355" s="63">
        <v>5</v>
      </c>
      <c r="L355" s="64">
        <v>2013</v>
      </c>
      <c r="M355" s="40" t="s">
        <v>56</v>
      </c>
      <c r="N355" s="40" t="s">
        <v>778</v>
      </c>
      <c r="O355" s="40" t="s">
        <v>31</v>
      </c>
      <c r="P355" s="30">
        <v>62473.305899999999</v>
      </c>
      <c r="S355" s="52">
        <v>3</v>
      </c>
      <c r="T355" s="30">
        <f t="shared" si="40"/>
        <v>1735.3418305555554</v>
      </c>
      <c r="U355" s="5">
        <v>53795.596747222218</v>
      </c>
      <c r="V355" s="77">
        <f t="shared" si="41"/>
        <v>55530.938577777772</v>
      </c>
      <c r="W355" s="77">
        <f t="shared" si="42"/>
        <v>1735.3418305555533</v>
      </c>
      <c r="X355" s="77">
        <f t="shared" si="43"/>
        <v>6942.3673222222278</v>
      </c>
      <c r="Y355" s="93" t="s">
        <v>779</v>
      </c>
      <c r="AB355" s="67">
        <f t="shared" si="44"/>
        <v>32</v>
      </c>
    </row>
    <row r="356" spans="1:28" s="51" customFormat="1" x14ac:dyDescent="0.25">
      <c r="A356" s="40"/>
      <c r="B356" s="40"/>
      <c r="C356" s="40"/>
      <c r="D356" s="587" t="s">
        <v>785</v>
      </c>
      <c r="E356" s="588" t="s">
        <v>786</v>
      </c>
      <c r="F356" s="40" t="s">
        <v>787</v>
      </c>
      <c r="G356" s="40" t="s">
        <v>788</v>
      </c>
      <c r="H356" s="90" t="s">
        <v>139</v>
      </c>
      <c r="I356" s="35">
        <v>41418</v>
      </c>
      <c r="J356" s="63">
        <v>24</v>
      </c>
      <c r="K356" s="63">
        <v>5</v>
      </c>
      <c r="L356" s="64">
        <v>2013</v>
      </c>
      <c r="M356" s="40" t="s">
        <v>56</v>
      </c>
      <c r="N356" s="40" t="s">
        <v>789</v>
      </c>
      <c r="O356" s="40" t="s">
        <v>31</v>
      </c>
      <c r="P356" s="30">
        <v>42400</v>
      </c>
      <c r="S356" s="52">
        <v>3</v>
      </c>
      <c r="T356" s="30">
        <f t="shared" si="40"/>
        <v>1177.75</v>
      </c>
      <c r="U356" s="5">
        <v>36510.25</v>
      </c>
      <c r="V356" s="77">
        <f t="shared" si="41"/>
        <v>37688</v>
      </c>
      <c r="W356" s="77">
        <f t="shared" si="42"/>
        <v>1177.75</v>
      </c>
      <c r="X356" s="77">
        <f t="shared" si="43"/>
        <v>4712</v>
      </c>
      <c r="Y356" s="93"/>
      <c r="AB356" s="67">
        <f t="shared" si="44"/>
        <v>32</v>
      </c>
    </row>
    <row r="357" spans="1:28" s="33" customFormat="1" x14ac:dyDescent="0.25">
      <c r="A357" s="40"/>
      <c r="B357" s="40"/>
      <c r="C357" s="40"/>
      <c r="D357" s="40"/>
      <c r="E357" s="40"/>
      <c r="F357" s="40"/>
      <c r="G357" s="40"/>
      <c r="H357" s="40"/>
      <c r="I357" s="52"/>
      <c r="J357" s="63"/>
      <c r="K357" s="63"/>
      <c r="L357" s="64"/>
      <c r="M357" s="40"/>
      <c r="N357" s="40"/>
      <c r="O357" s="40"/>
      <c r="P357" s="26">
        <f>SUM(P348:P356)</f>
        <v>2391891.3154000002</v>
      </c>
      <c r="Q357" s="28"/>
      <c r="R357" s="28"/>
      <c r="S357" s="28"/>
      <c r="T357" s="26">
        <f>SUM(T348:T356)</f>
        <v>66441.175427777765</v>
      </c>
      <c r="U357" s="26">
        <v>2087252.7960388884</v>
      </c>
      <c r="V357" s="26">
        <f>SUM(V348:V356)</f>
        <v>2153693.9714666666</v>
      </c>
      <c r="W357" s="26">
        <f>SUM(W348:W356)</f>
        <v>66441.175427777867</v>
      </c>
      <c r="X357" s="26">
        <f>SUM(X348:X356)</f>
        <v>238197.34393333318</v>
      </c>
      <c r="AB357" s="67">
        <f t="shared" si="44"/>
        <v>36</v>
      </c>
    </row>
    <row r="358" spans="1:28" s="33" customFormat="1" x14ac:dyDescent="0.25">
      <c r="A358" s="40"/>
      <c r="B358" s="40"/>
      <c r="C358" s="40"/>
      <c r="D358" s="586"/>
      <c r="E358" s="589"/>
      <c r="F358" s="40"/>
      <c r="G358" s="40"/>
      <c r="H358" s="40"/>
      <c r="I358" s="52"/>
      <c r="J358" s="63"/>
      <c r="K358" s="63"/>
      <c r="L358" s="64"/>
      <c r="M358" s="40"/>
      <c r="N358" s="40"/>
      <c r="O358" s="40"/>
      <c r="P358" s="28"/>
      <c r="S358" s="52"/>
      <c r="T358" s="28"/>
      <c r="U358" s="28"/>
      <c r="V358" s="28"/>
      <c r="AB358" s="67">
        <f t="shared" si="44"/>
        <v>36</v>
      </c>
    </row>
    <row r="359" spans="1:28" s="111" customFormat="1" x14ac:dyDescent="0.25">
      <c r="A359" s="98"/>
      <c r="B359" s="98"/>
      <c r="C359" s="98"/>
      <c r="D359" s="98" t="s">
        <v>790</v>
      </c>
      <c r="E359" s="98" t="s">
        <v>791</v>
      </c>
      <c r="F359" s="98" t="s">
        <v>792</v>
      </c>
      <c r="G359" s="98" t="s">
        <v>793</v>
      </c>
      <c r="H359" s="98" t="s">
        <v>794</v>
      </c>
      <c r="I359" s="99">
        <v>41428</v>
      </c>
      <c r="J359" s="107">
        <v>3</v>
      </c>
      <c r="K359" s="107">
        <v>6</v>
      </c>
      <c r="L359" s="108">
        <v>2013</v>
      </c>
      <c r="M359" s="97" t="s">
        <v>56</v>
      </c>
      <c r="N359" s="97" t="s">
        <v>795</v>
      </c>
      <c r="O359" s="97" t="s">
        <v>796</v>
      </c>
      <c r="P359" s="186">
        <v>102512.5</v>
      </c>
      <c r="Q359" s="102"/>
      <c r="R359" s="103"/>
      <c r="S359" s="52">
        <v>3</v>
      </c>
      <c r="T359" s="30">
        <f>(((P359)-1)/3)/12</f>
        <v>2847.5416666666665</v>
      </c>
      <c r="U359" s="5">
        <v>85426.25</v>
      </c>
      <c r="V359" s="77">
        <f>T359*AB359</f>
        <v>88273.791666666657</v>
      </c>
      <c r="W359" s="77">
        <f>+V359-U359</f>
        <v>2847.541666666657</v>
      </c>
      <c r="X359" s="77">
        <f>P359-V359</f>
        <v>14238.708333333343</v>
      </c>
      <c r="Y359" s="103" t="s">
        <v>797</v>
      </c>
      <c r="Z359" s="137"/>
      <c r="AB359" s="67">
        <f t="shared" si="44"/>
        <v>31</v>
      </c>
    </row>
    <row r="360" spans="1:28" s="111" customFormat="1" x14ac:dyDescent="0.25">
      <c r="A360" s="98"/>
      <c r="B360" s="98"/>
      <c r="C360" s="98"/>
      <c r="D360" s="98" t="s">
        <v>790</v>
      </c>
      <c r="E360" s="98" t="s">
        <v>791</v>
      </c>
      <c r="F360" s="98" t="s">
        <v>792</v>
      </c>
      <c r="G360" s="98" t="s">
        <v>798</v>
      </c>
      <c r="H360" s="98" t="s">
        <v>794</v>
      </c>
      <c r="I360" s="99">
        <v>41428</v>
      </c>
      <c r="J360" s="107">
        <v>3</v>
      </c>
      <c r="K360" s="107">
        <v>6</v>
      </c>
      <c r="L360" s="108">
        <v>2013</v>
      </c>
      <c r="M360" s="97" t="s">
        <v>56</v>
      </c>
      <c r="N360" s="97" t="s">
        <v>795</v>
      </c>
      <c r="O360" s="97" t="s">
        <v>796</v>
      </c>
      <c r="P360" s="186">
        <v>102512.5</v>
      </c>
      <c r="Q360" s="102"/>
      <c r="R360" s="103"/>
      <c r="S360" s="52">
        <v>3</v>
      </c>
      <c r="T360" s="30">
        <f>(((P360)-1)/3)/12</f>
        <v>2847.5416666666665</v>
      </c>
      <c r="U360" s="5">
        <v>85426.25</v>
      </c>
      <c r="V360" s="77">
        <f>T360*AB360</f>
        <v>88273.791666666657</v>
      </c>
      <c r="W360" s="77">
        <f>+V360-U360</f>
        <v>2847.541666666657</v>
      </c>
      <c r="X360" s="77">
        <f>P360-V360</f>
        <v>14238.708333333343</v>
      </c>
      <c r="Y360" s="103" t="s">
        <v>797</v>
      </c>
      <c r="Z360" s="137"/>
      <c r="AB360" s="67">
        <f t="shared" si="44"/>
        <v>31</v>
      </c>
    </row>
    <row r="361" spans="1:28" s="111" customFormat="1" x14ac:dyDescent="0.25">
      <c r="A361" s="98"/>
      <c r="B361" s="98"/>
      <c r="C361" s="98"/>
      <c r="D361" s="98" t="s">
        <v>790</v>
      </c>
      <c r="E361" s="98" t="s">
        <v>791</v>
      </c>
      <c r="F361" s="98" t="s">
        <v>792</v>
      </c>
      <c r="G361" s="98" t="s">
        <v>799</v>
      </c>
      <c r="H361" s="98" t="s">
        <v>794</v>
      </c>
      <c r="I361" s="99">
        <v>41428</v>
      </c>
      <c r="J361" s="107">
        <v>3</v>
      </c>
      <c r="K361" s="107">
        <v>6</v>
      </c>
      <c r="L361" s="108">
        <v>2013</v>
      </c>
      <c r="M361" s="97" t="s">
        <v>56</v>
      </c>
      <c r="N361" s="97" t="s">
        <v>795</v>
      </c>
      <c r="O361" s="97" t="s">
        <v>796</v>
      </c>
      <c r="P361" s="186">
        <v>102512.5</v>
      </c>
      <c r="Q361" s="102"/>
      <c r="R361" s="103"/>
      <c r="S361" s="52">
        <v>3</v>
      </c>
      <c r="T361" s="30">
        <f>(((P361)-1)/3)/12</f>
        <v>2847.5416666666665</v>
      </c>
      <c r="U361" s="5">
        <v>85426.25</v>
      </c>
      <c r="V361" s="77">
        <f>T361*AB361</f>
        <v>88273.791666666657</v>
      </c>
      <c r="W361" s="77">
        <f>+V361-U361</f>
        <v>2847.541666666657</v>
      </c>
      <c r="X361" s="77">
        <f>P361-V361</f>
        <v>14238.708333333343</v>
      </c>
      <c r="Y361" s="103" t="s">
        <v>797</v>
      </c>
      <c r="Z361" s="137"/>
      <c r="AB361" s="67">
        <f t="shared" si="44"/>
        <v>31</v>
      </c>
    </row>
    <row r="362" spans="1:28" s="111" customFormat="1" x14ac:dyDescent="0.25">
      <c r="A362" s="98"/>
      <c r="B362" s="98"/>
      <c r="C362" s="98"/>
      <c r="D362" s="98" t="s">
        <v>790</v>
      </c>
      <c r="E362" s="98" t="s">
        <v>791</v>
      </c>
      <c r="F362" s="98" t="s">
        <v>792</v>
      </c>
      <c r="G362" s="98" t="s">
        <v>800</v>
      </c>
      <c r="H362" s="98" t="s">
        <v>794</v>
      </c>
      <c r="I362" s="99">
        <v>41428</v>
      </c>
      <c r="J362" s="107">
        <v>3</v>
      </c>
      <c r="K362" s="107">
        <v>6</v>
      </c>
      <c r="L362" s="108">
        <v>2013</v>
      </c>
      <c r="M362" s="97" t="s">
        <v>56</v>
      </c>
      <c r="N362" s="97" t="s">
        <v>795</v>
      </c>
      <c r="O362" s="97" t="s">
        <v>796</v>
      </c>
      <c r="P362" s="186">
        <v>102512.5</v>
      </c>
      <c r="Q362" s="102"/>
      <c r="R362" s="103"/>
      <c r="S362" s="52">
        <v>3</v>
      </c>
      <c r="T362" s="30">
        <f>(((P362)-1)/3)/12</f>
        <v>2847.5416666666665</v>
      </c>
      <c r="U362" s="5">
        <v>85426.25</v>
      </c>
      <c r="V362" s="77">
        <f>T362*AB362</f>
        <v>88273.791666666657</v>
      </c>
      <c r="W362" s="77">
        <f>+V362-U362</f>
        <v>2847.541666666657</v>
      </c>
      <c r="X362" s="77">
        <f>P362-V362</f>
        <v>14238.708333333343</v>
      </c>
      <c r="Y362" s="103" t="s">
        <v>797</v>
      </c>
      <c r="Z362" s="137"/>
      <c r="AB362" s="67">
        <f t="shared" si="44"/>
        <v>31</v>
      </c>
    </row>
    <row r="363" spans="1:28" s="33" customFormat="1" x14ac:dyDescent="0.25">
      <c r="A363" s="40"/>
      <c r="B363" s="40"/>
      <c r="C363" s="40"/>
      <c r="D363" s="40"/>
      <c r="E363" s="40"/>
      <c r="F363" s="40"/>
      <c r="G363" s="40"/>
      <c r="H363" s="40"/>
      <c r="I363" s="52"/>
      <c r="J363" s="63"/>
      <c r="K363" s="63"/>
      <c r="L363" s="64"/>
      <c r="M363" s="40"/>
      <c r="N363" s="40"/>
      <c r="O363" s="40"/>
      <c r="P363" s="26">
        <f>SUM(P359:P362)</f>
        <v>410050</v>
      </c>
      <c r="S363" s="52"/>
      <c r="T363" s="26">
        <f>SUM(T359:T362)</f>
        <v>11390.166666666666</v>
      </c>
      <c r="U363" s="26">
        <v>341705</v>
      </c>
      <c r="V363" s="26">
        <f>SUM(V359:V362)</f>
        <v>353095.16666666663</v>
      </c>
      <c r="W363" s="26">
        <f>SUM(W359:W362)</f>
        <v>11390.166666666628</v>
      </c>
      <c r="X363" s="26">
        <f>SUM(X359:X362)</f>
        <v>56954.833333333372</v>
      </c>
      <c r="AB363" s="67"/>
    </row>
    <row r="364" spans="1:28" x14ac:dyDescent="0.25">
      <c r="A364" s="33"/>
      <c r="B364" s="33"/>
      <c r="C364" s="33"/>
      <c r="D364" s="62"/>
      <c r="E364" s="40"/>
      <c r="F364" s="40"/>
      <c r="G364" s="89"/>
      <c r="H364" s="90"/>
      <c r="I364" s="35"/>
      <c r="J364" s="63"/>
      <c r="K364" s="63"/>
      <c r="L364" s="64"/>
      <c r="M364" s="40"/>
      <c r="N364" s="90"/>
      <c r="O364" s="40"/>
      <c r="P364" s="91"/>
      <c r="T364" s="30"/>
      <c r="V364" s="77"/>
      <c r="W364" s="77"/>
      <c r="X364" s="77"/>
      <c r="AB364" s="67"/>
    </row>
    <row r="365" spans="1:28" x14ac:dyDescent="0.25">
      <c r="A365" s="22" t="s">
        <v>801</v>
      </c>
      <c r="B365" s="40"/>
      <c r="C365" s="40"/>
      <c r="D365" s="40"/>
      <c r="E365" s="40"/>
      <c r="F365" s="40"/>
      <c r="G365" s="40"/>
      <c r="H365" s="40"/>
      <c r="I365" s="52"/>
      <c r="J365" s="63"/>
      <c r="K365" s="63"/>
      <c r="L365" s="64"/>
      <c r="M365" s="40"/>
      <c r="N365" s="40"/>
      <c r="O365" s="40"/>
      <c r="P365" s="26">
        <f>+P363+P357+P346</f>
        <v>3349389.0841999999</v>
      </c>
      <c r="Q365" s="28"/>
      <c r="R365" s="28"/>
      <c r="S365" s="28"/>
      <c r="T365" s="26">
        <f>+T363+T357+T348+T346</f>
        <v>105407.69987222222</v>
      </c>
      <c r="U365" s="26">
        <v>3858824.0137277772</v>
      </c>
      <c r="V365" s="26">
        <f>+V363+V357+V348+V346</f>
        <v>3964231.7135999994</v>
      </c>
      <c r="W365" s="26">
        <f>+W363+W357+W348+W346</f>
        <v>105407.69987222232</v>
      </c>
      <c r="X365" s="26">
        <f>+X363+X357+X348+X346</f>
        <v>377907.2505999998</v>
      </c>
    </row>
    <row r="366" spans="1:28" x14ac:dyDescent="0.25">
      <c r="A366" s="96"/>
      <c r="B366" s="96"/>
      <c r="C366" s="96"/>
      <c r="D366" s="7"/>
      <c r="E366" s="7"/>
      <c r="F366" s="7"/>
      <c r="G366" s="7"/>
      <c r="H366" s="7"/>
      <c r="I366" s="7"/>
      <c r="J366" s="36"/>
      <c r="K366" s="36"/>
      <c r="L366" s="7"/>
      <c r="M366" s="7"/>
      <c r="N366" s="7"/>
      <c r="O366" s="7"/>
      <c r="P366" s="7"/>
      <c r="S366" s="33"/>
      <c r="T366" s="7"/>
      <c r="U366" s="7"/>
      <c r="V366" s="7"/>
      <c r="W366" s="7"/>
      <c r="X366" s="7"/>
    </row>
    <row r="367" spans="1:28" s="33" customFormat="1" ht="16.5" thickBot="1" x14ac:dyDescent="0.3">
      <c r="A367" s="22" t="s">
        <v>802</v>
      </c>
      <c r="B367" s="57"/>
      <c r="C367" s="57"/>
      <c r="D367" s="57"/>
      <c r="E367" s="57"/>
      <c r="F367" s="57"/>
      <c r="G367" s="57"/>
      <c r="H367" s="57"/>
      <c r="I367" s="73"/>
      <c r="J367" s="58"/>
      <c r="K367" s="58"/>
      <c r="L367" s="59"/>
      <c r="M367" s="57"/>
      <c r="N367" s="57"/>
      <c r="O367" s="57"/>
      <c r="P367" s="86">
        <f>+P365+P318</f>
        <v>16666462.29799</v>
      </c>
      <c r="Q367" s="28"/>
      <c r="R367" s="28"/>
      <c r="S367" s="28"/>
      <c r="T367" s="86">
        <f>+T365+T318</f>
        <v>105407.69987222222</v>
      </c>
      <c r="U367" s="86">
        <v>17191940.366406664</v>
      </c>
      <c r="V367" s="86">
        <f>+V365+V318</f>
        <v>17297348.066278886</v>
      </c>
      <c r="W367" s="86">
        <f>+W365+W318</f>
        <v>105407.69987222232</v>
      </c>
      <c r="X367" s="86">
        <f>+X365+X318</f>
        <v>378183.25059999991</v>
      </c>
    </row>
    <row r="368" spans="1:28" ht="16.5" thickTop="1" x14ac:dyDescent="0.25">
      <c r="A368" s="96"/>
      <c r="B368" s="96"/>
      <c r="C368" s="96"/>
      <c r="D368" s="7"/>
      <c r="E368" s="7"/>
      <c r="F368" s="7"/>
      <c r="G368" s="7"/>
      <c r="H368" s="7"/>
      <c r="I368" s="7"/>
      <c r="J368" s="36"/>
      <c r="K368" s="36"/>
      <c r="L368" s="7"/>
      <c r="M368" s="7"/>
      <c r="N368" s="7"/>
      <c r="O368" s="7"/>
      <c r="P368" s="7"/>
      <c r="S368" s="33"/>
      <c r="T368" s="7"/>
      <c r="U368" s="7"/>
      <c r="V368" s="7"/>
      <c r="W368" s="7"/>
      <c r="X368" s="7"/>
    </row>
    <row r="369" spans="1:28" x14ac:dyDescent="0.25">
      <c r="A369" s="96"/>
      <c r="B369" s="96"/>
      <c r="C369" s="96"/>
      <c r="D369" s="7"/>
      <c r="E369" s="7"/>
      <c r="F369" s="7"/>
      <c r="G369" s="7"/>
      <c r="H369" s="7"/>
      <c r="I369" s="7"/>
      <c r="J369" s="36"/>
      <c r="K369" s="36"/>
      <c r="L369" s="7"/>
      <c r="M369" s="7"/>
      <c r="N369" s="7"/>
      <c r="O369" s="7"/>
      <c r="P369" s="7"/>
      <c r="S369" s="33"/>
      <c r="T369" s="7"/>
      <c r="U369" s="7"/>
      <c r="V369" s="7"/>
      <c r="W369" s="7"/>
      <c r="X369" s="7"/>
    </row>
    <row r="370" spans="1:28" s="103" customFormat="1" ht="14.25" customHeight="1" x14ac:dyDescent="0.25">
      <c r="A370" s="97"/>
      <c r="B370" s="97"/>
      <c r="C370" s="97"/>
      <c r="D370" s="98" t="s">
        <v>803</v>
      </c>
      <c r="E370" s="97" t="s">
        <v>804</v>
      </c>
      <c r="F370" s="97" t="s">
        <v>805</v>
      </c>
      <c r="G370" s="97"/>
      <c r="H370" s="97" t="s">
        <v>806</v>
      </c>
      <c r="I370" s="99">
        <v>41915</v>
      </c>
      <c r="J370" s="100">
        <v>3</v>
      </c>
      <c r="K370" s="100">
        <v>10</v>
      </c>
      <c r="L370" s="101">
        <v>2014</v>
      </c>
      <c r="M370" s="97" t="s">
        <v>56</v>
      </c>
      <c r="N370" s="97" t="s">
        <v>807</v>
      </c>
      <c r="O370" s="97" t="s">
        <v>796</v>
      </c>
      <c r="P370" s="102">
        <v>295127.3</v>
      </c>
      <c r="Q370" s="102"/>
      <c r="S370" s="103">
        <v>3</v>
      </c>
      <c r="T370" s="30">
        <f>(((P370)-1)/3)/12</f>
        <v>8197.9527777777785</v>
      </c>
      <c r="U370" s="5">
        <v>114771.3388888889</v>
      </c>
      <c r="V370" s="77">
        <f>T370*AB370</f>
        <v>122969.29166666667</v>
      </c>
      <c r="W370" s="77">
        <f>+V370-U370</f>
        <v>8197.9527777777694</v>
      </c>
      <c r="X370" s="77">
        <f>P370-V370</f>
        <v>172158.0083333333</v>
      </c>
      <c r="Y370" s="104" t="s">
        <v>808</v>
      </c>
      <c r="AB370" s="67">
        <f>IF((DATEDIF(I370,AB$4,"m"))&gt;=36,36,(DATEDIF(I370,AB$4,"m")))</f>
        <v>15</v>
      </c>
    </row>
    <row r="371" spans="1:28" s="111" customFormat="1" x14ac:dyDescent="0.25">
      <c r="A371" s="98"/>
      <c r="B371" s="98"/>
      <c r="C371" s="98"/>
      <c r="D371" s="590" t="s">
        <v>809</v>
      </c>
      <c r="E371" s="98"/>
      <c r="F371" s="98"/>
      <c r="G371" s="98"/>
      <c r="H371" s="98"/>
      <c r="I371" s="106"/>
      <c r="J371" s="107"/>
      <c r="K371" s="107"/>
      <c r="L371" s="108"/>
      <c r="M371" s="98"/>
      <c r="N371" s="98"/>
      <c r="O371" s="98"/>
      <c r="P371" s="109">
        <f>SUM(P370)</f>
        <v>295127.3</v>
      </c>
      <c r="Q371" s="102"/>
      <c r="R371" s="103"/>
      <c r="S371" s="282"/>
      <c r="T371" s="113">
        <f>SUM(T370)</f>
        <v>8197.9527777777785</v>
      </c>
      <c r="U371" s="113">
        <v>114771.3388888889</v>
      </c>
      <c r="V371" s="113">
        <f>SUM(V370)</f>
        <v>122969.29166666667</v>
      </c>
      <c r="W371" s="113">
        <f>SUM(W370)</f>
        <v>8197.9527777777694</v>
      </c>
      <c r="X371" s="113">
        <f>SUM(X370)</f>
        <v>172158.0083333333</v>
      </c>
      <c r="AB371" s="137"/>
    </row>
    <row r="372" spans="1:28" s="33" customFormat="1" x14ac:dyDescent="0.25">
      <c r="A372" s="40"/>
      <c r="B372" s="40"/>
      <c r="C372" s="40"/>
      <c r="D372" s="40"/>
      <c r="E372" s="40"/>
      <c r="F372" s="40"/>
      <c r="G372" s="40"/>
      <c r="H372" s="40"/>
      <c r="I372" s="52"/>
      <c r="J372" s="63"/>
      <c r="K372" s="63"/>
      <c r="L372" s="64"/>
      <c r="M372" s="40"/>
      <c r="N372" s="40"/>
      <c r="O372" s="40"/>
      <c r="P372" s="28"/>
      <c r="S372" s="52"/>
      <c r="T372" s="28"/>
      <c r="U372" s="28"/>
      <c r="V372" s="28"/>
      <c r="AB372" s="67"/>
    </row>
    <row r="373" spans="1:28" s="103" customFormat="1" ht="14.25" customHeight="1" x14ac:dyDescent="0.25">
      <c r="A373" s="97"/>
      <c r="B373" s="97"/>
      <c r="C373" s="97"/>
      <c r="D373" s="98" t="s">
        <v>810</v>
      </c>
      <c r="E373" s="97" t="s">
        <v>28</v>
      </c>
      <c r="F373" s="97" t="s">
        <v>811</v>
      </c>
      <c r="G373" s="97" t="s">
        <v>812</v>
      </c>
      <c r="H373" s="40" t="s">
        <v>595</v>
      </c>
      <c r="I373" s="35">
        <v>41955</v>
      </c>
      <c r="J373" s="63">
        <v>12</v>
      </c>
      <c r="K373" s="63">
        <v>11</v>
      </c>
      <c r="L373" s="64">
        <v>2014</v>
      </c>
      <c r="M373" s="40" t="s">
        <v>56</v>
      </c>
      <c r="N373" s="40" t="s">
        <v>755</v>
      </c>
      <c r="O373" s="40" t="s">
        <v>31</v>
      </c>
      <c r="P373" s="30">
        <v>10453.5</v>
      </c>
      <c r="Q373" s="33"/>
      <c r="R373" s="33"/>
      <c r="S373" s="52">
        <v>3</v>
      </c>
      <c r="T373" s="30">
        <f>(((P373)-1)/3)/12</f>
        <v>290.34722222222223</v>
      </c>
      <c r="U373" s="5">
        <v>3774.5138888888891</v>
      </c>
      <c r="V373" s="77">
        <f>T373*AB373</f>
        <v>4064.8611111111113</v>
      </c>
      <c r="W373" s="77">
        <f>+V373-U373</f>
        <v>290.34722222222217</v>
      </c>
      <c r="X373" s="77">
        <f>P373-V373</f>
        <v>6388.6388888888887</v>
      </c>
      <c r="Y373" s="33" t="s">
        <v>813</v>
      </c>
      <c r="AB373" s="67">
        <f>IF((DATEDIF(I373,AB$4,"m"))&gt;=36,36,(DATEDIF(I373,AB$4,"m")))</f>
        <v>14</v>
      </c>
    </row>
    <row r="374" spans="1:28" s="111" customFormat="1" x14ac:dyDescent="0.25">
      <c r="A374" s="98"/>
      <c r="B374" s="98"/>
      <c r="C374" s="98"/>
      <c r="D374" s="590" t="s">
        <v>814</v>
      </c>
      <c r="E374" s="98"/>
      <c r="F374" s="98"/>
      <c r="G374" s="98"/>
      <c r="H374" s="98"/>
      <c r="I374" s="106"/>
      <c r="J374" s="107"/>
      <c r="K374" s="107"/>
      <c r="L374" s="108"/>
      <c r="M374" s="98"/>
      <c r="N374" s="98"/>
      <c r="O374" s="98"/>
      <c r="P374" s="109">
        <f>SUM(P373:P373)</f>
        <v>10453.5</v>
      </c>
      <c r="Q374" s="102"/>
      <c r="R374" s="103"/>
      <c r="S374" s="282"/>
      <c r="T374" s="113">
        <f>SUM(T372:T373)</f>
        <v>290.34722222222223</v>
      </c>
      <c r="U374" s="113">
        <v>3774.5138888888891</v>
      </c>
      <c r="V374" s="113">
        <f>SUM(V372:V373)</f>
        <v>4064.8611111111113</v>
      </c>
      <c r="W374" s="113">
        <f>SUM(W372:W373)</f>
        <v>290.34722222222217</v>
      </c>
      <c r="X374" s="113">
        <f>SUM(X372:X373)</f>
        <v>6388.6388888888887</v>
      </c>
      <c r="AB374" s="137"/>
    </row>
    <row r="375" spans="1:28" s="33" customFormat="1" x14ac:dyDescent="0.25">
      <c r="A375" s="40"/>
      <c r="B375" s="40"/>
      <c r="C375" s="40"/>
      <c r="D375" s="40"/>
      <c r="E375" s="40"/>
      <c r="F375" s="40"/>
      <c r="G375" s="40"/>
      <c r="H375" s="40"/>
      <c r="I375" s="52"/>
      <c r="J375" s="63"/>
      <c r="K375" s="63"/>
      <c r="L375" s="64"/>
      <c r="M375" s="40"/>
      <c r="N375" s="40"/>
      <c r="O375" s="40"/>
      <c r="P375" s="28"/>
      <c r="S375" s="52"/>
      <c r="T375" s="28"/>
      <c r="U375" s="28"/>
      <c r="V375" s="28"/>
      <c r="AB375" s="67"/>
    </row>
    <row r="376" spans="1:28" s="111" customFormat="1" x14ac:dyDescent="0.25">
      <c r="A376" s="590" t="s">
        <v>815</v>
      </c>
      <c r="B376" s="98"/>
      <c r="C376" s="98"/>
      <c r="E376" s="98"/>
      <c r="F376" s="98"/>
      <c r="G376" s="98"/>
      <c r="H376" s="98"/>
      <c r="I376" s="106"/>
      <c r="J376" s="107"/>
      <c r="K376" s="107"/>
      <c r="L376" s="108"/>
      <c r="M376" s="98"/>
      <c r="N376" s="98"/>
      <c r="O376" s="98"/>
      <c r="P376" s="591">
        <f>+P371+P374</f>
        <v>305580.79999999999</v>
      </c>
      <c r="Q376" s="616"/>
      <c r="R376" s="616"/>
      <c r="S376" s="103"/>
      <c r="T376" s="591">
        <f>+T371+T374</f>
        <v>8488.3000000000011</v>
      </c>
      <c r="U376" s="591">
        <v>118545.85277777779</v>
      </c>
      <c r="V376" s="591">
        <f>+V371+V374</f>
        <v>127034.15277777778</v>
      </c>
      <c r="W376" s="591">
        <f>+W371+W374</f>
        <v>8488.299999999992</v>
      </c>
      <c r="X376" s="591">
        <f>+X371+X374</f>
        <v>178546.64722222218</v>
      </c>
      <c r="Z376" s="137"/>
    </row>
    <row r="377" spans="1:28" x14ac:dyDescent="0.25">
      <c r="A377" s="96"/>
      <c r="B377" s="96"/>
      <c r="C377" s="96"/>
      <c r="D377" s="7"/>
      <c r="E377" s="7"/>
      <c r="F377" s="7"/>
      <c r="G377" s="7"/>
      <c r="H377" s="7"/>
      <c r="I377" s="7"/>
      <c r="J377" s="36"/>
      <c r="K377" s="36"/>
      <c r="L377" s="7"/>
      <c r="M377" s="7"/>
      <c r="N377" s="7"/>
      <c r="O377" s="7"/>
      <c r="P377" s="7"/>
      <c r="S377" s="33"/>
      <c r="T377" s="7"/>
      <c r="U377" s="7"/>
      <c r="V377" s="7"/>
      <c r="W377" s="7"/>
      <c r="X377" s="7"/>
    </row>
    <row r="378" spans="1:28" s="33" customFormat="1" ht="16.5" thickBot="1" x14ac:dyDescent="0.3">
      <c r="A378" s="22" t="s">
        <v>816</v>
      </c>
      <c r="B378" s="57"/>
      <c r="C378" s="57"/>
      <c r="D378" s="57"/>
      <c r="E378" s="57"/>
      <c r="F378" s="57"/>
      <c r="G378" s="57"/>
      <c r="H378" s="57"/>
      <c r="I378" s="73"/>
      <c r="J378" s="58"/>
      <c r="K378" s="58"/>
      <c r="L378" s="59"/>
      <c r="M378" s="57"/>
      <c r="N378" s="57"/>
      <c r="O378" s="57"/>
      <c r="P378" s="86">
        <f t="shared" ref="P378" si="45">+P367+P376</f>
        <v>16972043.097989999</v>
      </c>
      <c r="Q378" s="28"/>
      <c r="R378" s="28"/>
      <c r="S378" s="28"/>
      <c r="T378" s="86">
        <f>+T367+T376</f>
        <v>113895.99987222222</v>
      </c>
      <c r="U378" s="86">
        <v>17310486.219184443</v>
      </c>
      <c r="V378" s="86">
        <f t="shared" ref="V378:X378" si="46">+V367+V376</f>
        <v>17424382.219056662</v>
      </c>
      <c r="W378" s="86">
        <f t="shared" si="46"/>
        <v>113895.99987222231</v>
      </c>
      <c r="X378" s="86">
        <f t="shared" si="46"/>
        <v>556729.89782222209</v>
      </c>
    </row>
    <row r="379" spans="1:28" ht="16.5" thickTop="1" x14ac:dyDescent="0.25">
      <c r="A379" s="96"/>
      <c r="B379" s="96"/>
      <c r="C379" s="96"/>
      <c r="D379" s="7"/>
      <c r="E379" s="7"/>
      <c r="F379" s="7"/>
      <c r="G379" s="7"/>
      <c r="H379" s="7"/>
      <c r="I379" s="7"/>
      <c r="J379" s="36"/>
      <c r="K379" s="36"/>
      <c r="L379" s="7"/>
      <c r="M379" s="7"/>
      <c r="N379" s="7"/>
      <c r="O379" s="7"/>
      <c r="P379" s="7"/>
      <c r="S379" s="33"/>
      <c r="T379" s="7"/>
      <c r="U379" s="7"/>
      <c r="V379" s="7"/>
      <c r="W379" s="7"/>
      <c r="X379" s="7"/>
    </row>
    <row r="380" spans="1:28" s="103" customFormat="1" ht="14.25" customHeight="1" x14ac:dyDescent="0.25">
      <c r="A380" s="97"/>
      <c r="B380" s="97"/>
      <c r="C380" s="97"/>
      <c r="D380" s="98" t="s">
        <v>2751</v>
      </c>
      <c r="E380" s="97"/>
      <c r="F380" s="97" t="s">
        <v>2752</v>
      </c>
      <c r="G380" s="97" t="s">
        <v>2753</v>
      </c>
      <c r="H380" s="97" t="s">
        <v>2754</v>
      </c>
      <c r="I380" s="99">
        <v>42024</v>
      </c>
      <c r="J380" s="100">
        <v>20</v>
      </c>
      <c r="K380" s="100">
        <v>1</v>
      </c>
      <c r="L380" s="101">
        <v>2015</v>
      </c>
      <c r="M380" s="97" t="s">
        <v>56</v>
      </c>
      <c r="N380" s="97" t="s">
        <v>2755</v>
      </c>
      <c r="O380" s="97" t="s">
        <v>796</v>
      </c>
      <c r="P380" s="102">
        <v>130276.42</v>
      </c>
      <c r="Q380" s="102"/>
      <c r="S380" s="103">
        <v>3</v>
      </c>
      <c r="T380" s="30">
        <f>(((P380)-1)/3)/12</f>
        <v>3618.7616666666668</v>
      </c>
      <c r="U380" s="5">
        <v>39806.378333333334</v>
      </c>
      <c r="V380" s="77">
        <f>T380*AB380</f>
        <v>43425.14</v>
      </c>
      <c r="W380" s="77">
        <f>+V380-U380</f>
        <v>3618.7616666666654</v>
      </c>
      <c r="X380" s="77">
        <f>P380-V380</f>
        <v>86851.28</v>
      </c>
      <c r="Y380" s="104" t="s">
        <v>808</v>
      </c>
      <c r="AB380" s="67">
        <f>IF((DATEDIF(I380,AB$4,"m"))&gt;=36,36,(DATEDIF(I380,AB$4,"m")))</f>
        <v>12</v>
      </c>
    </row>
    <row r="381" spans="1:28" s="111" customFormat="1" x14ac:dyDescent="0.25">
      <c r="A381" s="98"/>
      <c r="B381" s="98"/>
      <c r="C381" s="98"/>
      <c r="D381" s="590" t="s">
        <v>2756</v>
      </c>
      <c r="E381" s="98"/>
      <c r="F381" s="98"/>
      <c r="G381" s="98"/>
      <c r="H381" s="98"/>
      <c r="I381" s="106"/>
      <c r="J381" s="107"/>
      <c r="K381" s="107"/>
      <c r="L381" s="108"/>
      <c r="M381" s="98"/>
      <c r="N381" s="98"/>
      <c r="O381" s="98"/>
      <c r="P381" s="109">
        <f>SUM(P380)</f>
        <v>130276.42</v>
      </c>
      <c r="Q381" s="102"/>
      <c r="R381" s="103"/>
      <c r="S381" s="282"/>
      <c r="T381" s="113">
        <f>SUM(T380)</f>
        <v>3618.7616666666668</v>
      </c>
      <c r="U381" s="113">
        <v>39806.378333333334</v>
      </c>
      <c r="V381" s="113">
        <f>SUM(V380)</f>
        <v>43425.14</v>
      </c>
      <c r="W381" s="113">
        <f>SUM(W380)</f>
        <v>3618.7616666666654</v>
      </c>
      <c r="X381" s="113">
        <f>SUM(X380)</f>
        <v>86851.28</v>
      </c>
      <c r="AB381" s="137"/>
    </row>
    <row r="382" spans="1:28" s="33" customFormat="1" x14ac:dyDescent="0.25">
      <c r="A382" s="40"/>
      <c r="B382" s="40"/>
      <c r="C382" s="40"/>
      <c r="D382" s="40"/>
      <c r="E382" s="40"/>
      <c r="F382" s="40"/>
      <c r="G382" s="40"/>
      <c r="H382" s="40"/>
      <c r="I382" s="52"/>
      <c r="J382" s="63"/>
      <c r="K382" s="63"/>
      <c r="L382" s="64"/>
      <c r="M382" s="40"/>
      <c r="N382" s="40"/>
      <c r="O382" s="40"/>
      <c r="P382" s="28"/>
      <c r="S382" s="52"/>
      <c r="T382" s="28"/>
      <c r="U382" s="28"/>
      <c r="V382" s="28"/>
      <c r="AB382" s="67"/>
    </row>
    <row r="383" spans="1:28" s="103" customFormat="1" ht="14.25" customHeight="1" x14ac:dyDescent="0.25">
      <c r="A383" s="97"/>
      <c r="B383" s="97"/>
      <c r="C383" s="97"/>
      <c r="D383" s="98" t="s">
        <v>2761</v>
      </c>
      <c r="E383" s="97" t="s">
        <v>2762</v>
      </c>
      <c r="F383" s="97" t="s">
        <v>2763</v>
      </c>
      <c r="G383" s="97" t="s">
        <v>2764</v>
      </c>
      <c r="H383" s="40" t="s">
        <v>595</v>
      </c>
      <c r="I383" s="99">
        <v>42044</v>
      </c>
      <c r="J383" s="100">
        <v>9</v>
      </c>
      <c r="K383" s="100">
        <v>2</v>
      </c>
      <c r="L383" s="101">
        <v>2015</v>
      </c>
      <c r="M383" s="97" t="s">
        <v>56</v>
      </c>
      <c r="N383" s="97" t="s">
        <v>2765</v>
      </c>
      <c r="O383" s="97" t="s">
        <v>796</v>
      </c>
      <c r="P383" s="102">
        <v>27477</v>
      </c>
      <c r="Q383" s="102"/>
      <c r="S383" s="103">
        <v>3</v>
      </c>
      <c r="T383" s="30">
        <f>(((P383)-1)/3)/12</f>
        <v>763.22222222222217</v>
      </c>
      <c r="U383" s="5">
        <v>7632.2222222222217</v>
      </c>
      <c r="V383" s="77">
        <f>T383*AB383</f>
        <v>8395.4444444444434</v>
      </c>
      <c r="W383" s="77">
        <f>+V383-U383</f>
        <v>763.22222222222172</v>
      </c>
      <c r="X383" s="77">
        <f>P383-V383</f>
        <v>19081.555555555555</v>
      </c>
      <c r="Y383" s="104"/>
      <c r="AB383" s="67">
        <f>IF((DATEDIF(I383,AB$4,"m"))&gt;=36,36,(DATEDIF(I383,AB$4,"m")))</f>
        <v>11</v>
      </c>
    </row>
    <row r="384" spans="1:28" s="111" customFormat="1" x14ac:dyDescent="0.25">
      <c r="A384" s="98"/>
      <c r="B384" s="98"/>
      <c r="C384" s="98"/>
      <c r="D384" s="590" t="s">
        <v>2766</v>
      </c>
      <c r="E384" s="98"/>
      <c r="F384" s="98"/>
      <c r="G384" s="98"/>
      <c r="H384" s="98"/>
      <c r="I384" s="106"/>
      <c r="J384" s="107"/>
      <c r="K384" s="107"/>
      <c r="L384" s="108"/>
      <c r="M384" s="98"/>
      <c r="N384" s="98"/>
      <c r="O384" s="98"/>
      <c r="P384" s="109">
        <f>SUM(P383)</f>
        <v>27477</v>
      </c>
      <c r="Q384" s="110"/>
      <c r="S384" s="112"/>
      <c r="T384" s="113">
        <f>SUM(T383)</f>
        <v>763.22222222222217</v>
      </c>
      <c r="U384" s="113">
        <v>7632.2222222222217</v>
      </c>
      <c r="V384" s="113">
        <f>SUM(V383)</f>
        <v>8395.4444444444434</v>
      </c>
      <c r="W384" s="113">
        <f>SUM(W383)</f>
        <v>763.22222222222172</v>
      </c>
      <c r="X384" s="113">
        <f>SUM(X383)</f>
        <v>19081.555555555555</v>
      </c>
      <c r="AB384" s="137"/>
    </row>
    <row r="385" spans="1:28" s="111" customFormat="1" x14ac:dyDescent="0.25">
      <c r="A385" s="98"/>
      <c r="B385" s="98"/>
      <c r="C385" s="98"/>
      <c r="D385" s="590"/>
      <c r="E385" s="98"/>
      <c r="F385" s="98"/>
      <c r="G385" s="98"/>
      <c r="H385" s="98"/>
      <c r="I385" s="106"/>
      <c r="J385" s="107"/>
      <c r="K385" s="107"/>
      <c r="L385" s="108"/>
      <c r="M385" s="98"/>
      <c r="N385" s="98"/>
      <c r="O385" s="98"/>
      <c r="P385" s="297"/>
      <c r="Q385" s="110"/>
      <c r="S385" s="112"/>
      <c r="T385" s="298"/>
      <c r="U385" s="298"/>
      <c r="V385" s="298"/>
      <c r="W385" s="298"/>
      <c r="X385" s="298"/>
      <c r="AB385" s="137"/>
    </row>
    <row r="386" spans="1:28" s="103" customFormat="1" ht="14.25" customHeight="1" x14ac:dyDescent="0.25">
      <c r="A386" s="97"/>
      <c r="B386" s="97"/>
      <c r="C386" s="97"/>
      <c r="D386" s="7" t="s">
        <v>2767</v>
      </c>
      <c r="E386" s="97"/>
      <c r="F386" s="97" t="s">
        <v>2768</v>
      </c>
      <c r="G386" s="97"/>
      <c r="H386" s="40" t="s">
        <v>2769</v>
      </c>
      <c r="I386" s="99">
        <v>42065</v>
      </c>
      <c r="J386" s="100">
        <v>2</v>
      </c>
      <c r="K386" s="100">
        <v>3</v>
      </c>
      <c r="L386" s="101">
        <v>2015</v>
      </c>
      <c r="M386" s="97" t="s">
        <v>56</v>
      </c>
      <c r="N386" s="97" t="s">
        <v>2770</v>
      </c>
      <c r="O386" s="97" t="s">
        <v>796</v>
      </c>
      <c r="P386" s="102">
        <v>297143.98</v>
      </c>
      <c r="Q386" s="102"/>
      <c r="S386" s="103">
        <v>3</v>
      </c>
      <c r="T386" s="30">
        <f>(((P386)-1)/3)/12</f>
        <v>8253.9716666666664</v>
      </c>
      <c r="U386" s="5">
        <v>74285.744999999995</v>
      </c>
      <c r="V386" s="77">
        <f>T386*AB386</f>
        <v>82539.71666666666</v>
      </c>
      <c r="W386" s="77">
        <f>+V386-U386</f>
        <v>8253.9716666666645</v>
      </c>
      <c r="X386" s="77">
        <f>P386-V386</f>
        <v>214604.26333333331</v>
      </c>
      <c r="Y386" s="104"/>
      <c r="AB386" s="67">
        <f>IF((DATEDIF(I386,AB$4,"m"))&gt;=36,36,(DATEDIF(I386,AB$4,"m")))</f>
        <v>10</v>
      </c>
    </row>
    <row r="387" spans="1:28" s="103" customFormat="1" ht="14.25" customHeight="1" x14ac:dyDescent="0.25">
      <c r="A387" s="97"/>
      <c r="B387" s="97"/>
      <c r="C387" s="97"/>
      <c r="D387" s="7" t="s">
        <v>2771</v>
      </c>
      <c r="E387" s="97" t="s">
        <v>83</v>
      </c>
      <c r="F387" s="97" t="s">
        <v>2772</v>
      </c>
      <c r="G387" s="201" t="s">
        <v>2773</v>
      </c>
      <c r="H387" s="40" t="s">
        <v>139</v>
      </c>
      <c r="I387" s="99">
        <v>42083</v>
      </c>
      <c r="J387" s="100">
        <v>2</v>
      </c>
      <c r="K387" s="100">
        <v>20</v>
      </c>
      <c r="L387" s="101">
        <v>2015</v>
      </c>
      <c r="M387" s="97" t="s">
        <v>56</v>
      </c>
      <c r="N387" s="97" t="s">
        <v>2774</v>
      </c>
      <c r="O387" s="97" t="s">
        <v>796</v>
      </c>
      <c r="P387" s="102">
        <v>40778.300000000003</v>
      </c>
      <c r="Q387" s="102"/>
      <c r="S387" s="103">
        <v>3</v>
      </c>
      <c r="T387" s="30">
        <f>(((P387)-1)/3)/12</f>
        <v>1132.7027777777778</v>
      </c>
      <c r="U387" s="5">
        <v>10194.325000000001</v>
      </c>
      <c r="V387" s="77">
        <f>T387*AB387</f>
        <v>11327.027777777777</v>
      </c>
      <c r="W387" s="77">
        <f>+V387-U387</f>
        <v>1132.7027777777766</v>
      </c>
      <c r="X387" s="77">
        <f>P387-V387</f>
        <v>29451.272222222226</v>
      </c>
      <c r="Y387" s="104"/>
      <c r="AB387" s="67">
        <f>IF((DATEDIF(I387,AB$4,"m"))&gt;=36,36,(DATEDIF(I387,AB$4,"m")))</f>
        <v>10</v>
      </c>
    </row>
    <row r="388" spans="1:28" s="103" customFormat="1" ht="14.25" customHeight="1" x14ac:dyDescent="0.25">
      <c r="A388" s="97"/>
      <c r="B388" s="97"/>
      <c r="C388" s="97"/>
      <c r="D388" s="7" t="s">
        <v>2771</v>
      </c>
      <c r="E388" s="97" t="s">
        <v>83</v>
      </c>
      <c r="F388" s="97" t="s">
        <v>2772</v>
      </c>
      <c r="G388" s="201" t="s">
        <v>2775</v>
      </c>
      <c r="H388" s="40" t="s">
        <v>139</v>
      </c>
      <c r="I388" s="99">
        <v>42083</v>
      </c>
      <c r="J388" s="100">
        <v>2</v>
      </c>
      <c r="K388" s="100">
        <v>20</v>
      </c>
      <c r="L388" s="101">
        <v>2015</v>
      </c>
      <c r="M388" s="97" t="s">
        <v>56</v>
      </c>
      <c r="N388" s="97" t="s">
        <v>2774</v>
      </c>
      <c r="O388" s="97" t="s">
        <v>796</v>
      </c>
      <c r="P388" s="102">
        <v>40778.300000000003</v>
      </c>
      <c r="Q388" s="102"/>
      <c r="S388" s="103">
        <v>3</v>
      </c>
      <c r="T388" s="30">
        <f t="shared" ref="T388:T417" si="47">(((P388)-1)/3)/12</f>
        <v>1132.7027777777778</v>
      </c>
      <c r="U388" s="5">
        <v>10194.325000000001</v>
      </c>
      <c r="V388" s="77">
        <f t="shared" ref="U388:V417" si="48">T388*AB388</f>
        <v>11327.027777777777</v>
      </c>
      <c r="W388" s="77">
        <f t="shared" ref="W388:W417" si="49">+V388-U388</f>
        <v>1132.7027777777766</v>
      </c>
      <c r="X388" s="77">
        <f t="shared" ref="X388:X417" si="50">P388-V388</f>
        <v>29451.272222222226</v>
      </c>
      <c r="Y388" s="104"/>
      <c r="AB388" s="67">
        <f t="shared" ref="AB388:AB416" si="51">IF((DATEDIF(I388,AB$4,"m"))&gt;=36,36,(DATEDIF(I388,AB$4,"m")))</f>
        <v>10</v>
      </c>
    </row>
    <row r="389" spans="1:28" s="103" customFormat="1" ht="14.25" customHeight="1" x14ac:dyDescent="0.25">
      <c r="A389" s="97"/>
      <c r="B389" s="97"/>
      <c r="C389" s="97"/>
      <c r="D389" s="7" t="s">
        <v>2771</v>
      </c>
      <c r="E389" s="97" t="s">
        <v>83</v>
      </c>
      <c r="F389" s="97" t="s">
        <v>2772</v>
      </c>
      <c r="G389" s="201" t="s">
        <v>2776</v>
      </c>
      <c r="H389" s="40" t="s">
        <v>139</v>
      </c>
      <c r="I389" s="99">
        <v>42083</v>
      </c>
      <c r="J389" s="100">
        <v>2</v>
      </c>
      <c r="K389" s="100">
        <v>20</v>
      </c>
      <c r="L389" s="101">
        <v>2015</v>
      </c>
      <c r="M389" s="97" t="s">
        <v>56</v>
      </c>
      <c r="N389" s="97" t="s">
        <v>2774</v>
      </c>
      <c r="O389" s="97" t="s">
        <v>796</v>
      </c>
      <c r="P389" s="102">
        <v>40778.300000000003</v>
      </c>
      <c r="Q389" s="102"/>
      <c r="S389" s="103">
        <v>3</v>
      </c>
      <c r="T389" s="30">
        <f t="shared" si="47"/>
        <v>1132.7027777777778</v>
      </c>
      <c r="U389" s="5">
        <v>10194.325000000001</v>
      </c>
      <c r="V389" s="77">
        <f t="shared" si="48"/>
        <v>11327.027777777777</v>
      </c>
      <c r="W389" s="77">
        <f t="shared" si="49"/>
        <v>1132.7027777777766</v>
      </c>
      <c r="X389" s="77">
        <f t="shared" si="50"/>
        <v>29451.272222222226</v>
      </c>
      <c r="Y389" s="104"/>
      <c r="AB389" s="67">
        <f t="shared" si="51"/>
        <v>10</v>
      </c>
    </row>
    <row r="390" spans="1:28" s="103" customFormat="1" ht="14.25" customHeight="1" x14ac:dyDescent="0.25">
      <c r="A390" s="97"/>
      <c r="B390" s="97"/>
      <c r="C390" s="97"/>
      <c r="D390" s="7" t="s">
        <v>2771</v>
      </c>
      <c r="E390" s="97" t="s">
        <v>83</v>
      </c>
      <c r="F390" s="97" t="s">
        <v>2772</v>
      </c>
      <c r="G390" s="201" t="s">
        <v>2777</v>
      </c>
      <c r="H390" s="40" t="s">
        <v>139</v>
      </c>
      <c r="I390" s="99">
        <v>42083</v>
      </c>
      <c r="J390" s="100">
        <v>2</v>
      </c>
      <c r="K390" s="100">
        <v>20</v>
      </c>
      <c r="L390" s="101">
        <v>2015</v>
      </c>
      <c r="M390" s="97" t="s">
        <v>56</v>
      </c>
      <c r="N390" s="97" t="s">
        <v>2774</v>
      </c>
      <c r="O390" s="97" t="s">
        <v>796</v>
      </c>
      <c r="P390" s="102">
        <v>40778.300000000003</v>
      </c>
      <c r="Q390" s="102"/>
      <c r="S390" s="103">
        <v>3</v>
      </c>
      <c r="T390" s="30">
        <f t="shared" si="47"/>
        <v>1132.7027777777778</v>
      </c>
      <c r="U390" s="5">
        <v>10194.325000000001</v>
      </c>
      <c r="V390" s="77">
        <f t="shared" si="48"/>
        <v>11327.027777777777</v>
      </c>
      <c r="W390" s="77">
        <f t="shared" si="49"/>
        <v>1132.7027777777766</v>
      </c>
      <c r="X390" s="77">
        <f t="shared" si="50"/>
        <v>29451.272222222226</v>
      </c>
      <c r="Y390" s="104"/>
      <c r="AB390" s="67">
        <f t="shared" si="51"/>
        <v>10</v>
      </c>
    </row>
    <row r="391" spans="1:28" s="103" customFormat="1" ht="14.25" customHeight="1" x14ac:dyDescent="0.25">
      <c r="A391" s="97"/>
      <c r="B391" s="97"/>
      <c r="C391" s="97"/>
      <c r="D391" s="7" t="s">
        <v>2771</v>
      </c>
      <c r="E391" s="97" t="s">
        <v>83</v>
      </c>
      <c r="F391" s="97" t="s">
        <v>2772</v>
      </c>
      <c r="G391" s="201" t="s">
        <v>2778</v>
      </c>
      <c r="H391" s="40" t="s">
        <v>139</v>
      </c>
      <c r="I391" s="99">
        <v>42083</v>
      </c>
      <c r="J391" s="100">
        <v>2</v>
      </c>
      <c r="K391" s="100">
        <v>20</v>
      </c>
      <c r="L391" s="101">
        <v>2015</v>
      </c>
      <c r="M391" s="97" t="s">
        <v>56</v>
      </c>
      <c r="N391" s="97" t="s">
        <v>2774</v>
      </c>
      <c r="O391" s="97" t="s">
        <v>796</v>
      </c>
      <c r="P391" s="102">
        <v>40778.300000000003</v>
      </c>
      <c r="Q391" s="102"/>
      <c r="S391" s="103">
        <v>3</v>
      </c>
      <c r="T391" s="30">
        <f t="shared" si="47"/>
        <v>1132.7027777777778</v>
      </c>
      <c r="U391" s="5">
        <v>10194.325000000001</v>
      </c>
      <c r="V391" s="77">
        <f t="shared" si="48"/>
        <v>11327.027777777777</v>
      </c>
      <c r="W391" s="77">
        <f t="shared" si="49"/>
        <v>1132.7027777777766</v>
      </c>
      <c r="X391" s="77">
        <f t="shared" si="50"/>
        <v>29451.272222222226</v>
      </c>
      <c r="Y391" s="104"/>
      <c r="AB391" s="67">
        <f t="shared" si="51"/>
        <v>10</v>
      </c>
    </row>
    <row r="392" spans="1:28" s="103" customFormat="1" ht="14.25" customHeight="1" x14ac:dyDescent="0.25">
      <c r="A392" s="97"/>
      <c r="B392" s="97"/>
      <c r="C392" s="97"/>
      <c r="D392" s="7" t="s">
        <v>2771</v>
      </c>
      <c r="E392" s="97" t="s">
        <v>83</v>
      </c>
      <c r="F392" s="97" t="s">
        <v>2772</v>
      </c>
      <c r="G392" s="201" t="s">
        <v>2779</v>
      </c>
      <c r="H392" s="40" t="s">
        <v>139</v>
      </c>
      <c r="I392" s="99">
        <v>42083</v>
      </c>
      <c r="J392" s="100">
        <v>2</v>
      </c>
      <c r="K392" s="100">
        <v>20</v>
      </c>
      <c r="L392" s="101">
        <v>2015</v>
      </c>
      <c r="M392" s="97" t="s">
        <v>56</v>
      </c>
      <c r="N392" s="97" t="s">
        <v>2774</v>
      </c>
      <c r="O392" s="97" t="s">
        <v>796</v>
      </c>
      <c r="P392" s="102">
        <v>40778.300000000003</v>
      </c>
      <c r="Q392" s="102"/>
      <c r="S392" s="103">
        <v>3</v>
      </c>
      <c r="T392" s="30">
        <f t="shared" si="47"/>
        <v>1132.7027777777778</v>
      </c>
      <c r="U392" s="5">
        <v>10194.325000000001</v>
      </c>
      <c r="V392" s="77">
        <f t="shared" si="48"/>
        <v>11327.027777777777</v>
      </c>
      <c r="W392" s="77">
        <f t="shared" si="49"/>
        <v>1132.7027777777766</v>
      </c>
      <c r="X392" s="77">
        <f t="shared" si="50"/>
        <v>29451.272222222226</v>
      </c>
      <c r="Y392" s="104"/>
      <c r="AB392" s="67">
        <f t="shared" si="51"/>
        <v>10</v>
      </c>
    </row>
    <row r="393" spans="1:28" s="103" customFormat="1" ht="14.25" customHeight="1" x14ac:dyDescent="0.25">
      <c r="A393" s="97"/>
      <c r="B393" s="97"/>
      <c r="C393" s="97"/>
      <c r="D393" s="7" t="s">
        <v>2771</v>
      </c>
      <c r="E393" s="97" t="s">
        <v>83</v>
      </c>
      <c r="F393" s="97" t="s">
        <v>2772</v>
      </c>
      <c r="G393" s="201" t="s">
        <v>2780</v>
      </c>
      <c r="H393" s="40" t="s">
        <v>139</v>
      </c>
      <c r="I393" s="99">
        <v>42083</v>
      </c>
      <c r="J393" s="100">
        <v>2</v>
      </c>
      <c r="K393" s="100">
        <v>20</v>
      </c>
      <c r="L393" s="101">
        <v>2015</v>
      </c>
      <c r="M393" s="97" t="s">
        <v>56</v>
      </c>
      <c r="N393" s="97" t="s">
        <v>2774</v>
      </c>
      <c r="O393" s="97" t="s">
        <v>796</v>
      </c>
      <c r="P393" s="102">
        <v>40778.300000000003</v>
      </c>
      <c r="Q393" s="102"/>
      <c r="S393" s="103">
        <v>3</v>
      </c>
      <c r="T393" s="30">
        <f t="shared" si="47"/>
        <v>1132.7027777777778</v>
      </c>
      <c r="U393" s="5">
        <v>10194.325000000001</v>
      </c>
      <c r="V393" s="77">
        <f t="shared" si="48"/>
        <v>11327.027777777777</v>
      </c>
      <c r="W393" s="77">
        <f t="shared" si="49"/>
        <v>1132.7027777777766</v>
      </c>
      <c r="X393" s="77">
        <f t="shared" si="50"/>
        <v>29451.272222222226</v>
      </c>
      <c r="Y393" s="104"/>
      <c r="AB393" s="67">
        <f t="shared" si="51"/>
        <v>10</v>
      </c>
    </row>
    <row r="394" spans="1:28" s="103" customFormat="1" ht="14.25" customHeight="1" x14ac:dyDescent="0.25">
      <c r="A394" s="97"/>
      <c r="B394" s="97"/>
      <c r="C394" s="97"/>
      <c r="D394" s="7" t="s">
        <v>2771</v>
      </c>
      <c r="E394" s="97" t="s">
        <v>83</v>
      </c>
      <c r="F394" s="97" t="s">
        <v>2772</v>
      </c>
      <c r="G394" s="201" t="s">
        <v>2781</v>
      </c>
      <c r="H394" s="40" t="s">
        <v>139</v>
      </c>
      <c r="I394" s="99">
        <v>42083</v>
      </c>
      <c r="J394" s="100">
        <v>2</v>
      </c>
      <c r="K394" s="100">
        <v>20</v>
      </c>
      <c r="L394" s="101">
        <v>2015</v>
      </c>
      <c r="M394" s="97" t="s">
        <v>56</v>
      </c>
      <c r="N394" s="97" t="s">
        <v>2774</v>
      </c>
      <c r="O394" s="97" t="s">
        <v>796</v>
      </c>
      <c r="P394" s="102">
        <v>40778.300000000003</v>
      </c>
      <c r="Q394" s="102"/>
      <c r="S394" s="103">
        <v>3</v>
      </c>
      <c r="T394" s="30">
        <f t="shared" si="47"/>
        <v>1132.7027777777778</v>
      </c>
      <c r="U394" s="5">
        <v>10194.325000000001</v>
      </c>
      <c r="V394" s="77">
        <f t="shared" si="48"/>
        <v>11327.027777777777</v>
      </c>
      <c r="W394" s="77">
        <f t="shared" si="49"/>
        <v>1132.7027777777766</v>
      </c>
      <c r="X394" s="77">
        <f t="shared" si="50"/>
        <v>29451.272222222226</v>
      </c>
      <c r="Y394" s="104"/>
      <c r="AB394" s="67">
        <f t="shared" si="51"/>
        <v>10</v>
      </c>
    </row>
    <row r="395" spans="1:28" s="103" customFormat="1" ht="14.25" customHeight="1" x14ac:dyDescent="0.25">
      <c r="A395" s="97"/>
      <c r="B395" s="97"/>
      <c r="C395" s="97"/>
      <c r="D395" s="7" t="s">
        <v>2771</v>
      </c>
      <c r="E395" s="97" t="s">
        <v>83</v>
      </c>
      <c r="F395" s="97" t="s">
        <v>2772</v>
      </c>
      <c r="G395" s="201" t="s">
        <v>2782</v>
      </c>
      <c r="H395" s="40" t="s">
        <v>139</v>
      </c>
      <c r="I395" s="99">
        <v>42083</v>
      </c>
      <c r="J395" s="100">
        <v>2</v>
      </c>
      <c r="K395" s="100">
        <v>20</v>
      </c>
      <c r="L395" s="101">
        <v>2015</v>
      </c>
      <c r="M395" s="97" t="s">
        <v>56</v>
      </c>
      <c r="N395" s="97" t="s">
        <v>2774</v>
      </c>
      <c r="O395" s="97" t="s">
        <v>796</v>
      </c>
      <c r="P395" s="102">
        <v>40778.300000000003</v>
      </c>
      <c r="Q395" s="102"/>
      <c r="S395" s="103">
        <v>3</v>
      </c>
      <c r="T395" s="30">
        <f t="shared" si="47"/>
        <v>1132.7027777777778</v>
      </c>
      <c r="U395" s="5">
        <v>10194.325000000001</v>
      </c>
      <c r="V395" s="77">
        <f t="shared" si="48"/>
        <v>11327.027777777777</v>
      </c>
      <c r="W395" s="77">
        <f t="shared" si="49"/>
        <v>1132.7027777777766</v>
      </c>
      <c r="X395" s="77">
        <f t="shared" si="50"/>
        <v>29451.272222222226</v>
      </c>
      <c r="Y395" s="104"/>
      <c r="AB395" s="67">
        <f t="shared" si="51"/>
        <v>10</v>
      </c>
    </row>
    <row r="396" spans="1:28" s="103" customFormat="1" ht="14.25" customHeight="1" x14ac:dyDescent="0.25">
      <c r="A396" s="97"/>
      <c r="B396" s="97"/>
      <c r="C396" s="97"/>
      <c r="D396" s="7" t="s">
        <v>2771</v>
      </c>
      <c r="E396" s="97" t="s">
        <v>83</v>
      </c>
      <c r="F396" s="97" t="s">
        <v>2772</v>
      </c>
      <c r="G396" s="201" t="s">
        <v>2783</v>
      </c>
      <c r="H396" s="40" t="s">
        <v>139</v>
      </c>
      <c r="I396" s="99">
        <v>42083</v>
      </c>
      <c r="J396" s="100">
        <v>2</v>
      </c>
      <c r="K396" s="100">
        <v>20</v>
      </c>
      <c r="L396" s="101">
        <v>2015</v>
      </c>
      <c r="M396" s="97" t="s">
        <v>56</v>
      </c>
      <c r="N396" s="97" t="s">
        <v>2774</v>
      </c>
      <c r="O396" s="97" t="s">
        <v>796</v>
      </c>
      <c r="P396" s="102">
        <v>40778.300000000003</v>
      </c>
      <c r="Q396" s="102"/>
      <c r="S396" s="103">
        <v>3</v>
      </c>
      <c r="T396" s="30">
        <f t="shared" si="47"/>
        <v>1132.7027777777778</v>
      </c>
      <c r="U396" s="5">
        <v>10194.325000000001</v>
      </c>
      <c r="V396" s="77">
        <f t="shared" si="48"/>
        <v>11327.027777777777</v>
      </c>
      <c r="W396" s="77">
        <f t="shared" si="49"/>
        <v>1132.7027777777766</v>
      </c>
      <c r="X396" s="77">
        <f t="shared" si="50"/>
        <v>29451.272222222226</v>
      </c>
      <c r="Y396" s="104"/>
      <c r="AB396" s="67">
        <f t="shared" si="51"/>
        <v>10</v>
      </c>
    </row>
    <row r="397" spans="1:28" s="103" customFormat="1" ht="14.25" customHeight="1" x14ac:dyDescent="0.25">
      <c r="A397" s="97"/>
      <c r="B397" s="97"/>
      <c r="C397" s="97"/>
      <c r="D397" s="7" t="s">
        <v>2771</v>
      </c>
      <c r="E397" s="97" t="s">
        <v>83</v>
      </c>
      <c r="F397" s="97" t="s">
        <v>2772</v>
      </c>
      <c r="G397" s="201" t="s">
        <v>2784</v>
      </c>
      <c r="H397" s="40" t="s">
        <v>139</v>
      </c>
      <c r="I397" s="99">
        <v>42083</v>
      </c>
      <c r="J397" s="100">
        <v>2</v>
      </c>
      <c r="K397" s="100">
        <v>20</v>
      </c>
      <c r="L397" s="101">
        <v>2015</v>
      </c>
      <c r="M397" s="97" t="s">
        <v>56</v>
      </c>
      <c r="N397" s="97" t="s">
        <v>2774</v>
      </c>
      <c r="O397" s="97" t="s">
        <v>796</v>
      </c>
      <c r="P397" s="102">
        <v>40778.300000000003</v>
      </c>
      <c r="Q397" s="102"/>
      <c r="S397" s="103">
        <v>3</v>
      </c>
      <c r="T397" s="30">
        <f t="shared" si="47"/>
        <v>1132.7027777777778</v>
      </c>
      <c r="U397" s="5">
        <v>10194.325000000001</v>
      </c>
      <c r="V397" s="77">
        <f t="shared" si="48"/>
        <v>11327.027777777777</v>
      </c>
      <c r="W397" s="77">
        <f t="shared" si="49"/>
        <v>1132.7027777777766</v>
      </c>
      <c r="X397" s="77">
        <f t="shared" si="50"/>
        <v>29451.272222222226</v>
      </c>
      <c r="Y397" s="104"/>
      <c r="AB397" s="67">
        <f t="shared" si="51"/>
        <v>10</v>
      </c>
    </row>
    <row r="398" spans="1:28" s="103" customFormat="1" ht="14.25" customHeight="1" x14ac:dyDescent="0.25">
      <c r="A398" s="97"/>
      <c r="B398" s="97"/>
      <c r="C398" s="97"/>
      <c r="D398" s="7" t="s">
        <v>2771</v>
      </c>
      <c r="E398" s="97" t="s">
        <v>83</v>
      </c>
      <c r="F398" s="97" t="s">
        <v>2772</v>
      </c>
      <c r="G398" s="201" t="s">
        <v>2785</v>
      </c>
      <c r="H398" s="40" t="s">
        <v>139</v>
      </c>
      <c r="I398" s="99">
        <v>42083</v>
      </c>
      <c r="J398" s="100">
        <v>2</v>
      </c>
      <c r="K398" s="100">
        <v>20</v>
      </c>
      <c r="L398" s="101">
        <v>2015</v>
      </c>
      <c r="M398" s="97" t="s">
        <v>56</v>
      </c>
      <c r="N398" s="97" t="s">
        <v>2774</v>
      </c>
      <c r="O398" s="97" t="s">
        <v>796</v>
      </c>
      <c r="P398" s="102">
        <v>40778.300000000003</v>
      </c>
      <c r="Q398" s="102"/>
      <c r="S398" s="103">
        <v>3</v>
      </c>
      <c r="T398" s="30">
        <f t="shared" si="47"/>
        <v>1132.7027777777778</v>
      </c>
      <c r="U398" s="5">
        <v>10194.325000000001</v>
      </c>
      <c r="V398" s="77">
        <f t="shared" si="48"/>
        <v>11327.027777777777</v>
      </c>
      <c r="W398" s="77">
        <f t="shared" si="49"/>
        <v>1132.7027777777766</v>
      </c>
      <c r="X398" s="77">
        <f t="shared" si="50"/>
        <v>29451.272222222226</v>
      </c>
      <c r="Y398" s="104"/>
      <c r="AB398" s="67">
        <f t="shared" si="51"/>
        <v>10</v>
      </c>
    </row>
    <row r="399" spans="1:28" s="103" customFormat="1" ht="14.25" customHeight="1" x14ac:dyDescent="0.25">
      <c r="A399" s="97"/>
      <c r="B399" s="97"/>
      <c r="C399" s="97"/>
      <c r="D399" s="7" t="s">
        <v>2771</v>
      </c>
      <c r="E399" s="97" t="s">
        <v>83</v>
      </c>
      <c r="F399" s="97" t="s">
        <v>2772</v>
      </c>
      <c r="G399" s="201" t="s">
        <v>2786</v>
      </c>
      <c r="H399" s="40" t="s">
        <v>139</v>
      </c>
      <c r="I399" s="99">
        <v>42083</v>
      </c>
      <c r="J399" s="100">
        <v>2</v>
      </c>
      <c r="K399" s="100">
        <v>20</v>
      </c>
      <c r="L399" s="101">
        <v>2015</v>
      </c>
      <c r="M399" s="97" t="s">
        <v>56</v>
      </c>
      <c r="N399" s="97" t="s">
        <v>2774</v>
      </c>
      <c r="O399" s="97" t="s">
        <v>796</v>
      </c>
      <c r="P399" s="102">
        <v>40778.300000000003</v>
      </c>
      <c r="Q399" s="102"/>
      <c r="S399" s="103">
        <v>3</v>
      </c>
      <c r="T399" s="30">
        <f t="shared" si="47"/>
        <v>1132.7027777777778</v>
      </c>
      <c r="U399" s="5">
        <v>10194.325000000001</v>
      </c>
      <c r="V399" s="77">
        <f t="shared" si="48"/>
        <v>11327.027777777777</v>
      </c>
      <c r="W399" s="77">
        <f t="shared" si="49"/>
        <v>1132.7027777777766</v>
      </c>
      <c r="X399" s="77">
        <f t="shared" si="50"/>
        <v>29451.272222222226</v>
      </c>
      <c r="Y399" s="104"/>
      <c r="AB399" s="67">
        <f t="shared" si="51"/>
        <v>10</v>
      </c>
    </row>
    <row r="400" spans="1:28" s="103" customFormat="1" ht="14.25" customHeight="1" x14ac:dyDescent="0.25">
      <c r="A400" s="97"/>
      <c r="B400" s="97"/>
      <c r="C400" s="97"/>
      <c r="D400" s="7" t="s">
        <v>2771</v>
      </c>
      <c r="E400" s="97" t="s">
        <v>83</v>
      </c>
      <c r="F400" s="97" t="s">
        <v>2772</v>
      </c>
      <c r="G400" s="201" t="s">
        <v>2787</v>
      </c>
      <c r="H400" s="40" t="s">
        <v>139</v>
      </c>
      <c r="I400" s="99">
        <v>42083</v>
      </c>
      <c r="J400" s="100">
        <v>2</v>
      </c>
      <c r="K400" s="100">
        <v>20</v>
      </c>
      <c r="L400" s="101">
        <v>2015</v>
      </c>
      <c r="M400" s="97" t="s">
        <v>56</v>
      </c>
      <c r="N400" s="97" t="s">
        <v>2774</v>
      </c>
      <c r="O400" s="97" t="s">
        <v>796</v>
      </c>
      <c r="P400" s="102">
        <v>40778.300000000003</v>
      </c>
      <c r="Q400" s="102"/>
      <c r="S400" s="103">
        <v>3</v>
      </c>
      <c r="T400" s="30">
        <f t="shared" si="47"/>
        <v>1132.7027777777778</v>
      </c>
      <c r="U400" s="5">
        <v>10194.325000000001</v>
      </c>
      <c r="V400" s="77">
        <f t="shared" si="48"/>
        <v>11327.027777777777</v>
      </c>
      <c r="W400" s="77">
        <f t="shared" si="49"/>
        <v>1132.7027777777766</v>
      </c>
      <c r="X400" s="77">
        <f t="shared" si="50"/>
        <v>29451.272222222226</v>
      </c>
      <c r="Y400" s="104"/>
      <c r="AB400" s="67">
        <f t="shared" si="51"/>
        <v>10</v>
      </c>
    </row>
    <row r="401" spans="1:28" s="103" customFormat="1" ht="14.25" customHeight="1" x14ac:dyDescent="0.25">
      <c r="A401" s="97"/>
      <c r="B401" s="97"/>
      <c r="C401" s="97"/>
      <c r="D401" s="7" t="s">
        <v>2771</v>
      </c>
      <c r="E401" s="97" t="s">
        <v>83</v>
      </c>
      <c r="F401" s="97" t="s">
        <v>2772</v>
      </c>
      <c r="G401" s="201" t="s">
        <v>2788</v>
      </c>
      <c r="H401" s="40" t="s">
        <v>139</v>
      </c>
      <c r="I401" s="99">
        <v>42083</v>
      </c>
      <c r="J401" s="100">
        <v>2</v>
      </c>
      <c r="K401" s="100">
        <v>20</v>
      </c>
      <c r="L401" s="101">
        <v>2015</v>
      </c>
      <c r="M401" s="97" t="s">
        <v>56</v>
      </c>
      <c r="N401" s="97" t="s">
        <v>2774</v>
      </c>
      <c r="O401" s="97" t="s">
        <v>796</v>
      </c>
      <c r="P401" s="102">
        <v>40778.300000000003</v>
      </c>
      <c r="Q401" s="102"/>
      <c r="S401" s="103">
        <v>3</v>
      </c>
      <c r="T401" s="30">
        <f t="shared" si="47"/>
        <v>1132.7027777777778</v>
      </c>
      <c r="U401" s="5">
        <v>10194.325000000001</v>
      </c>
      <c r="V401" s="77">
        <f t="shared" si="48"/>
        <v>11327.027777777777</v>
      </c>
      <c r="W401" s="77">
        <f t="shared" si="49"/>
        <v>1132.7027777777766</v>
      </c>
      <c r="X401" s="77">
        <f t="shared" si="50"/>
        <v>29451.272222222226</v>
      </c>
      <c r="Y401" s="104"/>
      <c r="AB401" s="67">
        <f t="shared" si="51"/>
        <v>10</v>
      </c>
    </row>
    <row r="402" spans="1:28" s="103" customFormat="1" ht="14.25" customHeight="1" x14ac:dyDescent="0.25">
      <c r="A402" s="97"/>
      <c r="B402" s="97"/>
      <c r="C402" s="97"/>
      <c r="D402" s="7" t="s">
        <v>2789</v>
      </c>
      <c r="E402" s="97" t="s">
        <v>83</v>
      </c>
      <c r="F402" s="97" t="s">
        <v>2790</v>
      </c>
      <c r="G402" s="97" t="s">
        <v>2791</v>
      </c>
      <c r="H402" s="40" t="s">
        <v>139</v>
      </c>
      <c r="I402" s="99">
        <v>42083</v>
      </c>
      <c r="J402" s="100">
        <v>2</v>
      </c>
      <c r="K402" s="100">
        <v>20</v>
      </c>
      <c r="L402" s="101">
        <v>2015</v>
      </c>
      <c r="M402" s="97" t="s">
        <v>56</v>
      </c>
      <c r="N402" s="97" t="s">
        <v>2774</v>
      </c>
      <c r="O402" s="97" t="s">
        <v>796</v>
      </c>
      <c r="P402" s="102">
        <v>5287.11</v>
      </c>
      <c r="Q402" s="102"/>
      <c r="S402" s="103">
        <v>3</v>
      </c>
      <c r="T402" s="30">
        <f t="shared" si="47"/>
        <v>146.83638888888888</v>
      </c>
      <c r="U402" s="5">
        <v>1321.5274999999999</v>
      </c>
      <c r="V402" s="77">
        <f t="shared" si="48"/>
        <v>1468.3638888888888</v>
      </c>
      <c r="W402" s="77">
        <f t="shared" si="49"/>
        <v>146.83638888888891</v>
      </c>
      <c r="X402" s="77">
        <f t="shared" si="50"/>
        <v>3818.7461111111106</v>
      </c>
      <c r="Y402" s="104"/>
      <c r="AB402" s="67">
        <f t="shared" si="51"/>
        <v>10</v>
      </c>
    </row>
    <row r="403" spans="1:28" s="103" customFormat="1" ht="14.25" customHeight="1" x14ac:dyDescent="0.25">
      <c r="A403" s="97"/>
      <c r="B403" s="97"/>
      <c r="C403" s="97"/>
      <c r="D403" s="7" t="s">
        <v>2789</v>
      </c>
      <c r="E403" s="97" t="s">
        <v>83</v>
      </c>
      <c r="F403" s="97" t="s">
        <v>2790</v>
      </c>
      <c r="G403" s="97" t="s">
        <v>2792</v>
      </c>
      <c r="H403" s="40" t="s">
        <v>139</v>
      </c>
      <c r="I403" s="99">
        <v>42083</v>
      </c>
      <c r="J403" s="100">
        <v>2</v>
      </c>
      <c r="K403" s="100">
        <v>20</v>
      </c>
      <c r="L403" s="101">
        <v>2015</v>
      </c>
      <c r="M403" s="97" t="s">
        <v>56</v>
      </c>
      <c r="N403" s="97" t="s">
        <v>2774</v>
      </c>
      <c r="O403" s="97" t="s">
        <v>796</v>
      </c>
      <c r="P403" s="102">
        <v>5287.11</v>
      </c>
      <c r="Q403" s="102"/>
      <c r="S403" s="103">
        <v>3</v>
      </c>
      <c r="T403" s="30">
        <f t="shared" si="47"/>
        <v>146.83638888888888</v>
      </c>
      <c r="U403" s="5">
        <v>1321.5274999999999</v>
      </c>
      <c r="V403" s="77">
        <f t="shared" si="48"/>
        <v>1468.3638888888888</v>
      </c>
      <c r="W403" s="77">
        <f t="shared" si="49"/>
        <v>146.83638888888891</v>
      </c>
      <c r="X403" s="77">
        <f t="shared" si="50"/>
        <v>3818.7461111111106</v>
      </c>
      <c r="Y403" s="104"/>
      <c r="AB403" s="67">
        <f t="shared" si="51"/>
        <v>10</v>
      </c>
    </row>
    <row r="404" spans="1:28" s="103" customFormat="1" ht="14.25" customHeight="1" x14ac:dyDescent="0.25">
      <c r="A404" s="97"/>
      <c r="B404" s="97"/>
      <c r="C404" s="97"/>
      <c r="D404" s="7" t="s">
        <v>2789</v>
      </c>
      <c r="E404" s="97" t="s">
        <v>83</v>
      </c>
      <c r="F404" s="97" t="s">
        <v>2790</v>
      </c>
      <c r="G404" s="97" t="s">
        <v>2793</v>
      </c>
      <c r="H404" s="40" t="s">
        <v>139</v>
      </c>
      <c r="I404" s="99">
        <v>42083</v>
      </c>
      <c r="J404" s="100">
        <v>2</v>
      </c>
      <c r="K404" s="100">
        <v>20</v>
      </c>
      <c r="L404" s="101">
        <v>2015</v>
      </c>
      <c r="M404" s="97" t="s">
        <v>56</v>
      </c>
      <c r="N404" s="97" t="s">
        <v>2774</v>
      </c>
      <c r="O404" s="97" t="s">
        <v>796</v>
      </c>
      <c r="P404" s="102">
        <v>5287.11</v>
      </c>
      <c r="Q404" s="102"/>
      <c r="S404" s="103">
        <v>3</v>
      </c>
      <c r="T404" s="30">
        <f t="shared" si="47"/>
        <v>146.83638888888888</v>
      </c>
      <c r="U404" s="5">
        <v>1321.5274999999999</v>
      </c>
      <c r="V404" s="77">
        <f t="shared" si="48"/>
        <v>1468.3638888888888</v>
      </c>
      <c r="W404" s="77">
        <f t="shared" si="49"/>
        <v>146.83638888888891</v>
      </c>
      <c r="X404" s="77">
        <f t="shared" si="50"/>
        <v>3818.7461111111106</v>
      </c>
      <c r="Y404" s="104"/>
      <c r="AB404" s="67">
        <f t="shared" si="51"/>
        <v>10</v>
      </c>
    </row>
    <row r="405" spans="1:28" s="103" customFormat="1" ht="14.25" customHeight="1" x14ac:dyDescent="0.25">
      <c r="A405" s="97"/>
      <c r="B405" s="97"/>
      <c r="C405" s="97"/>
      <c r="D405" s="7" t="s">
        <v>2789</v>
      </c>
      <c r="E405" s="97" t="s">
        <v>83</v>
      </c>
      <c r="F405" s="97" t="s">
        <v>2790</v>
      </c>
      <c r="G405" s="97" t="s">
        <v>2794</v>
      </c>
      <c r="H405" s="40" t="s">
        <v>139</v>
      </c>
      <c r="I405" s="99">
        <v>42083</v>
      </c>
      <c r="J405" s="100">
        <v>2</v>
      </c>
      <c r="K405" s="100">
        <v>20</v>
      </c>
      <c r="L405" s="101">
        <v>2015</v>
      </c>
      <c r="M405" s="97" t="s">
        <v>56</v>
      </c>
      <c r="N405" s="97" t="s">
        <v>2774</v>
      </c>
      <c r="O405" s="97" t="s">
        <v>796</v>
      </c>
      <c r="P405" s="102">
        <v>5287.11</v>
      </c>
      <c r="Q405" s="102"/>
      <c r="S405" s="103">
        <v>3</v>
      </c>
      <c r="T405" s="30">
        <f t="shared" si="47"/>
        <v>146.83638888888888</v>
      </c>
      <c r="U405" s="5">
        <v>1321.5274999999999</v>
      </c>
      <c r="V405" s="77">
        <f t="shared" si="48"/>
        <v>1468.3638888888888</v>
      </c>
      <c r="W405" s="77">
        <f t="shared" si="49"/>
        <v>146.83638888888891</v>
      </c>
      <c r="X405" s="77">
        <f t="shared" si="50"/>
        <v>3818.7461111111106</v>
      </c>
      <c r="Y405" s="104"/>
      <c r="AB405" s="67">
        <f t="shared" si="51"/>
        <v>10</v>
      </c>
    </row>
    <row r="406" spans="1:28" s="103" customFormat="1" ht="14.25" customHeight="1" x14ac:dyDescent="0.25">
      <c r="A406" s="97"/>
      <c r="B406" s="97"/>
      <c r="C406" s="97"/>
      <c r="D406" s="7" t="s">
        <v>2789</v>
      </c>
      <c r="E406" s="97" t="s">
        <v>83</v>
      </c>
      <c r="F406" s="97" t="s">
        <v>2790</v>
      </c>
      <c r="G406" s="97" t="s">
        <v>2795</v>
      </c>
      <c r="H406" s="40" t="s">
        <v>139</v>
      </c>
      <c r="I406" s="99">
        <v>42083</v>
      </c>
      <c r="J406" s="100">
        <v>2</v>
      </c>
      <c r="K406" s="100">
        <v>20</v>
      </c>
      <c r="L406" s="101">
        <v>2015</v>
      </c>
      <c r="M406" s="97" t="s">
        <v>56</v>
      </c>
      <c r="N406" s="97" t="s">
        <v>2774</v>
      </c>
      <c r="O406" s="97" t="s">
        <v>796</v>
      </c>
      <c r="P406" s="102">
        <v>5287.11</v>
      </c>
      <c r="Q406" s="102"/>
      <c r="S406" s="103">
        <v>3</v>
      </c>
      <c r="T406" s="30">
        <f t="shared" si="47"/>
        <v>146.83638888888888</v>
      </c>
      <c r="U406" s="5">
        <v>1321.5274999999999</v>
      </c>
      <c r="V406" s="77">
        <f t="shared" si="48"/>
        <v>1468.3638888888888</v>
      </c>
      <c r="W406" s="77">
        <f t="shared" si="49"/>
        <v>146.83638888888891</v>
      </c>
      <c r="X406" s="77">
        <f t="shared" si="50"/>
        <v>3818.7461111111106</v>
      </c>
      <c r="Y406" s="104"/>
      <c r="AB406" s="67">
        <f t="shared" si="51"/>
        <v>10</v>
      </c>
    </row>
    <row r="407" spans="1:28" s="103" customFormat="1" ht="14.25" customHeight="1" x14ac:dyDescent="0.25">
      <c r="A407" s="97"/>
      <c r="B407" s="97"/>
      <c r="C407" s="97"/>
      <c r="D407" s="7" t="s">
        <v>2789</v>
      </c>
      <c r="E407" s="97" t="s">
        <v>83</v>
      </c>
      <c r="F407" s="97" t="s">
        <v>2790</v>
      </c>
      <c r="G407" s="97" t="s">
        <v>2796</v>
      </c>
      <c r="H407" s="40" t="s">
        <v>139</v>
      </c>
      <c r="I407" s="99">
        <v>42083</v>
      </c>
      <c r="J407" s="100">
        <v>2</v>
      </c>
      <c r="K407" s="100">
        <v>20</v>
      </c>
      <c r="L407" s="101">
        <v>2015</v>
      </c>
      <c r="M407" s="97" t="s">
        <v>56</v>
      </c>
      <c r="N407" s="97" t="s">
        <v>2774</v>
      </c>
      <c r="O407" s="97" t="s">
        <v>796</v>
      </c>
      <c r="P407" s="102">
        <v>5287.11</v>
      </c>
      <c r="Q407" s="102"/>
      <c r="S407" s="103">
        <v>3</v>
      </c>
      <c r="T407" s="30">
        <f t="shared" si="47"/>
        <v>146.83638888888888</v>
      </c>
      <c r="U407" s="5">
        <v>1321.5274999999999</v>
      </c>
      <c r="V407" s="77">
        <f t="shared" si="48"/>
        <v>1468.3638888888888</v>
      </c>
      <c r="W407" s="77">
        <f t="shared" si="49"/>
        <v>146.83638888888891</v>
      </c>
      <c r="X407" s="77">
        <f t="shared" si="50"/>
        <v>3818.7461111111106</v>
      </c>
      <c r="Y407" s="104"/>
      <c r="AB407" s="67">
        <f t="shared" si="51"/>
        <v>10</v>
      </c>
    </row>
    <row r="408" spans="1:28" s="103" customFormat="1" ht="14.25" customHeight="1" x14ac:dyDescent="0.25">
      <c r="A408" s="97"/>
      <c r="B408" s="97"/>
      <c r="C408" s="97"/>
      <c r="D408" s="7" t="s">
        <v>2789</v>
      </c>
      <c r="E408" s="97" t="s">
        <v>83</v>
      </c>
      <c r="F408" s="97" t="s">
        <v>2790</v>
      </c>
      <c r="G408" s="97" t="s">
        <v>2797</v>
      </c>
      <c r="H408" s="40" t="s">
        <v>139</v>
      </c>
      <c r="I408" s="99">
        <v>42083</v>
      </c>
      <c r="J408" s="100">
        <v>2</v>
      </c>
      <c r="K408" s="100">
        <v>20</v>
      </c>
      <c r="L408" s="101">
        <v>2015</v>
      </c>
      <c r="M408" s="97" t="s">
        <v>56</v>
      </c>
      <c r="N408" s="97" t="s">
        <v>2774</v>
      </c>
      <c r="O408" s="97" t="s">
        <v>796</v>
      </c>
      <c r="P408" s="102">
        <v>5287.11</v>
      </c>
      <c r="Q408" s="102"/>
      <c r="S408" s="103">
        <v>3</v>
      </c>
      <c r="T408" s="30">
        <f t="shared" si="47"/>
        <v>146.83638888888888</v>
      </c>
      <c r="U408" s="5">
        <v>1321.5274999999999</v>
      </c>
      <c r="V408" s="77">
        <f t="shared" si="48"/>
        <v>1468.3638888888888</v>
      </c>
      <c r="W408" s="77">
        <f t="shared" si="49"/>
        <v>146.83638888888891</v>
      </c>
      <c r="X408" s="77">
        <f t="shared" si="50"/>
        <v>3818.7461111111106</v>
      </c>
      <c r="Y408" s="104"/>
      <c r="AB408" s="67">
        <f t="shared" si="51"/>
        <v>10</v>
      </c>
    </row>
    <row r="409" spans="1:28" s="103" customFormat="1" ht="14.25" customHeight="1" x14ac:dyDescent="0.25">
      <c r="A409" s="97"/>
      <c r="B409" s="97"/>
      <c r="C409" s="97"/>
      <c r="D409" s="7" t="s">
        <v>2789</v>
      </c>
      <c r="E409" s="97" t="s">
        <v>83</v>
      </c>
      <c r="F409" s="97" t="s">
        <v>2790</v>
      </c>
      <c r="G409" s="97" t="s">
        <v>2798</v>
      </c>
      <c r="H409" s="40" t="s">
        <v>139</v>
      </c>
      <c r="I409" s="99">
        <v>42083</v>
      </c>
      <c r="J409" s="100">
        <v>2</v>
      </c>
      <c r="K409" s="100">
        <v>20</v>
      </c>
      <c r="L409" s="101">
        <v>2015</v>
      </c>
      <c r="M409" s="97" t="s">
        <v>56</v>
      </c>
      <c r="N409" s="97" t="s">
        <v>2774</v>
      </c>
      <c r="O409" s="97" t="s">
        <v>796</v>
      </c>
      <c r="P409" s="102">
        <v>5287.11</v>
      </c>
      <c r="Q409" s="102"/>
      <c r="S409" s="103">
        <v>3</v>
      </c>
      <c r="T409" s="30">
        <f t="shared" si="47"/>
        <v>146.83638888888888</v>
      </c>
      <c r="U409" s="5">
        <v>1321.5274999999999</v>
      </c>
      <c r="V409" s="77">
        <f t="shared" si="48"/>
        <v>1468.3638888888888</v>
      </c>
      <c r="W409" s="77">
        <f t="shared" si="49"/>
        <v>146.83638888888891</v>
      </c>
      <c r="X409" s="77">
        <f t="shared" si="50"/>
        <v>3818.7461111111106</v>
      </c>
      <c r="Y409" s="104"/>
      <c r="AB409" s="67">
        <f t="shared" si="51"/>
        <v>10</v>
      </c>
    </row>
    <row r="410" spans="1:28" s="103" customFormat="1" ht="14.25" customHeight="1" x14ac:dyDescent="0.25">
      <c r="A410" s="97"/>
      <c r="B410" s="97"/>
      <c r="C410" s="97"/>
      <c r="D410" s="7" t="s">
        <v>2789</v>
      </c>
      <c r="E410" s="97" t="s">
        <v>83</v>
      </c>
      <c r="F410" s="97" t="s">
        <v>2790</v>
      </c>
      <c r="G410" s="97" t="s">
        <v>2799</v>
      </c>
      <c r="H410" s="40" t="s">
        <v>139</v>
      </c>
      <c r="I410" s="99">
        <v>42083</v>
      </c>
      <c r="J410" s="100">
        <v>2</v>
      </c>
      <c r="K410" s="100">
        <v>20</v>
      </c>
      <c r="L410" s="101">
        <v>2015</v>
      </c>
      <c r="M410" s="97" t="s">
        <v>56</v>
      </c>
      <c r="N410" s="97" t="s">
        <v>2774</v>
      </c>
      <c r="O410" s="97" t="s">
        <v>796</v>
      </c>
      <c r="P410" s="102">
        <v>5287.11</v>
      </c>
      <c r="Q410" s="102"/>
      <c r="S410" s="103">
        <v>3</v>
      </c>
      <c r="T410" s="30">
        <f t="shared" si="47"/>
        <v>146.83638888888888</v>
      </c>
      <c r="U410" s="5">
        <v>1321.5274999999999</v>
      </c>
      <c r="V410" s="77">
        <f t="shared" si="48"/>
        <v>1468.3638888888888</v>
      </c>
      <c r="W410" s="77">
        <f t="shared" si="49"/>
        <v>146.83638888888891</v>
      </c>
      <c r="X410" s="77">
        <f t="shared" si="50"/>
        <v>3818.7461111111106</v>
      </c>
      <c r="Y410" s="104"/>
      <c r="AB410" s="67">
        <f t="shared" si="51"/>
        <v>10</v>
      </c>
    </row>
    <row r="411" spans="1:28" s="103" customFormat="1" ht="14.25" customHeight="1" x14ac:dyDescent="0.25">
      <c r="A411" s="97"/>
      <c r="B411" s="97"/>
      <c r="C411" s="97"/>
      <c r="D411" s="7" t="s">
        <v>2789</v>
      </c>
      <c r="E411" s="97" t="s">
        <v>83</v>
      </c>
      <c r="F411" s="97" t="s">
        <v>2790</v>
      </c>
      <c r="G411" s="97" t="s">
        <v>2800</v>
      </c>
      <c r="H411" s="40" t="s">
        <v>139</v>
      </c>
      <c r="I411" s="99">
        <v>42083</v>
      </c>
      <c r="J411" s="100">
        <v>2</v>
      </c>
      <c r="K411" s="100">
        <v>20</v>
      </c>
      <c r="L411" s="101">
        <v>2015</v>
      </c>
      <c r="M411" s="97" t="s">
        <v>56</v>
      </c>
      <c r="N411" s="97" t="s">
        <v>2774</v>
      </c>
      <c r="O411" s="97" t="s">
        <v>796</v>
      </c>
      <c r="P411" s="102">
        <v>5287.11</v>
      </c>
      <c r="Q411" s="102"/>
      <c r="S411" s="103">
        <v>3</v>
      </c>
      <c r="T411" s="30">
        <f t="shared" si="47"/>
        <v>146.83638888888888</v>
      </c>
      <c r="U411" s="5">
        <v>1321.5274999999999</v>
      </c>
      <c r="V411" s="77">
        <f t="shared" si="48"/>
        <v>1468.3638888888888</v>
      </c>
      <c r="W411" s="77">
        <f t="shared" si="49"/>
        <v>146.83638888888891</v>
      </c>
      <c r="X411" s="77">
        <f t="shared" si="50"/>
        <v>3818.7461111111106</v>
      </c>
      <c r="Y411" s="104"/>
      <c r="AB411" s="67">
        <f t="shared" si="51"/>
        <v>10</v>
      </c>
    </row>
    <row r="412" spans="1:28" s="103" customFormat="1" ht="14.25" customHeight="1" x14ac:dyDescent="0.25">
      <c r="A412" s="97"/>
      <c r="B412" s="97"/>
      <c r="C412" s="97"/>
      <c r="D412" s="7" t="s">
        <v>2789</v>
      </c>
      <c r="E412" s="97" t="s">
        <v>83</v>
      </c>
      <c r="F412" s="97" t="s">
        <v>2790</v>
      </c>
      <c r="G412" s="97" t="s">
        <v>2801</v>
      </c>
      <c r="H412" s="40" t="s">
        <v>139</v>
      </c>
      <c r="I412" s="99">
        <v>42083</v>
      </c>
      <c r="J412" s="100">
        <v>2</v>
      </c>
      <c r="K412" s="100">
        <v>20</v>
      </c>
      <c r="L412" s="101">
        <v>2015</v>
      </c>
      <c r="M412" s="97" t="s">
        <v>56</v>
      </c>
      <c r="N412" s="97" t="s">
        <v>2774</v>
      </c>
      <c r="O412" s="97" t="s">
        <v>796</v>
      </c>
      <c r="P412" s="102">
        <v>5287.11</v>
      </c>
      <c r="Q412" s="102"/>
      <c r="S412" s="103">
        <v>3</v>
      </c>
      <c r="T412" s="30">
        <f t="shared" si="47"/>
        <v>146.83638888888888</v>
      </c>
      <c r="U412" s="5">
        <v>1321.5274999999999</v>
      </c>
      <c r="V412" s="77">
        <f t="shared" si="48"/>
        <v>1468.3638888888888</v>
      </c>
      <c r="W412" s="77">
        <f t="shared" si="49"/>
        <v>146.83638888888891</v>
      </c>
      <c r="X412" s="77">
        <f t="shared" si="50"/>
        <v>3818.7461111111106</v>
      </c>
      <c r="Y412" s="104"/>
      <c r="AB412" s="67">
        <f t="shared" si="51"/>
        <v>10</v>
      </c>
    </row>
    <row r="413" spans="1:28" s="103" customFormat="1" ht="14.25" customHeight="1" x14ac:dyDescent="0.25">
      <c r="A413" s="97"/>
      <c r="B413" s="97"/>
      <c r="C413" s="97"/>
      <c r="D413" s="7" t="s">
        <v>2789</v>
      </c>
      <c r="E413" s="97" t="s">
        <v>83</v>
      </c>
      <c r="F413" s="97" t="s">
        <v>2790</v>
      </c>
      <c r="G413" s="97" t="s">
        <v>2802</v>
      </c>
      <c r="H413" s="40" t="s">
        <v>139</v>
      </c>
      <c r="I413" s="99">
        <v>42083</v>
      </c>
      <c r="J413" s="100">
        <v>2</v>
      </c>
      <c r="K413" s="100">
        <v>20</v>
      </c>
      <c r="L413" s="101">
        <v>2015</v>
      </c>
      <c r="M413" s="97" t="s">
        <v>56</v>
      </c>
      <c r="N413" s="97" t="s">
        <v>2774</v>
      </c>
      <c r="O413" s="97" t="s">
        <v>796</v>
      </c>
      <c r="P413" s="102">
        <v>5287.11</v>
      </c>
      <c r="Q413" s="102"/>
      <c r="S413" s="103">
        <v>3</v>
      </c>
      <c r="T413" s="30">
        <f t="shared" si="47"/>
        <v>146.83638888888888</v>
      </c>
      <c r="U413" s="5">
        <v>1321.5274999999999</v>
      </c>
      <c r="V413" s="77">
        <f t="shared" si="48"/>
        <v>1468.3638888888888</v>
      </c>
      <c r="W413" s="77">
        <f t="shared" si="49"/>
        <v>146.83638888888891</v>
      </c>
      <c r="X413" s="77">
        <f t="shared" si="50"/>
        <v>3818.7461111111106</v>
      </c>
      <c r="Y413" s="104"/>
      <c r="AB413" s="67">
        <f t="shared" si="51"/>
        <v>10</v>
      </c>
    </row>
    <row r="414" spans="1:28" s="103" customFormat="1" ht="14.25" customHeight="1" x14ac:dyDescent="0.25">
      <c r="A414" s="97"/>
      <c r="B414" s="97"/>
      <c r="C414" s="97"/>
      <c r="D414" s="7" t="s">
        <v>2789</v>
      </c>
      <c r="E414" s="97" t="s">
        <v>83</v>
      </c>
      <c r="F414" s="97" t="s">
        <v>2790</v>
      </c>
      <c r="G414" s="97" t="s">
        <v>2803</v>
      </c>
      <c r="H414" s="40" t="s">
        <v>139</v>
      </c>
      <c r="I414" s="99">
        <v>42083</v>
      </c>
      <c r="J414" s="100">
        <v>2</v>
      </c>
      <c r="K414" s="100">
        <v>20</v>
      </c>
      <c r="L414" s="101">
        <v>2015</v>
      </c>
      <c r="M414" s="97" t="s">
        <v>56</v>
      </c>
      <c r="N414" s="97" t="s">
        <v>2774</v>
      </c>
      <c r="O414" s="97" t="s">
        <v>796</v>
      </c>
      <c r="P414" s="102">
        <v>5287.11</v>
      </c>
      <c r="Q414" s="102"/>
      <c r="S414" s="103">
        <v>3</v>
      </c>
      <c r="T414" s="30">
        <f t="shared" si="47"/>
        <v>146.83638888888888</v>
      </c>
      <c r="U414" s="5">
        <v>1321.5274999999999</v>
      </c>
      <c r="V414" s="77">
        <f t="shared" si="48"/>
        <v>1468.3638888888888</v>
      </c>
      <c r="W414" s="77">
        <f t="shared" si="49"/>
        <v>146.83638888888891</v>
      </c>
      <c r="X414" s="77">
        <f t="shared" si="50"/>
        <v>3818.7461111111106</v>
      </c>
      <c r="Y414" s="104"/>
      <c r="AB414" s="67">
        <f t="shared" si="51"/>
        <v>10</v>
      </c>
    </row>
    <row r="415" spans="1:28" s="103" customFormat="1" ht="14.25" customHeight="1" x14ac:dyDescent="0.25">
      <c r="A415" s="97"/>
      <c r="B415" s="97"/>
      <c r="C415" s="97"/>
      <c r="D415" s="7" t="s">
        <v>2789</v>
      </c>
      <c r="E415" s="97" t="s">
        <v>83</v>
      </c>
      <c r="F415" s="97" t="s">
        <v>2790</v>
      </c>
      <c r="G415" s="97" t="s">
        <v>2804</v>
      </c>
      <c r="H415" s="40" t="s">
        <v>139</v>
      </c>
      <c r="I415" s="99">
        <v>42083</v>
      </c>
      <c r="J415" s="100">
        <v>2</v>
      </c>
      <c r="K415" s="100">
        <v>20</v>
      </c>
      <c r="L415" s="101">
        <v>2015</v>
      </c>
      <c r="M415" s="97" t="s">
        <v>56</v>
      </c>
      <c r="N415" s="97" t="s">
        <v>2774</v>
      </c>
      <c r="O415" s="97" t="s">
        <v>796</v>
      </c>
      <c r="P415" s="102">
        <v>5287.11</v>
      </c>
      <c r="Q415" s="102"/>
      <c r="S415" s="103">
        <v>3</v>
      </c>
      <c r="T415" s="30">
        <f t="shared" si="47"/>
        <v>146.83638888888888</v>
      </c>
      <c r="U415" s="5">
        <v>1321.5274999999999</v>
      </c>
      <c r="V415" s="77">
        <f t="shared" si="48"/>
        <v>1468.3638888888888</v>
      </c>
      <c r="W415" s="77">
        <f t="shared" si="49"/>
        <v>146.83638888888891</v>
      </c>
      <c r="X415" s="77">
        <f t="shared" si="50"/>
        <v>3818.7461111111106</v>
      </c>
      <c r="Y415" s="104"/>
      <c r="AB415" s="67">
        <f t="shared" si="51"/>
        <v>10</v>
      </c>
    </row>
    <row r="416" spans="1:28" s="103" customFormat="1" ht="14.25" customHeight="1" x14ac:dyDescent="0.25">
      <c r="A416" s="97"/>
      <c r="B416" s="97"/>
      <c r="C416" s="97"/>
      <c r="D416" s="7" t="s">
        <v>2789</v>
      </c>
      <c r="E416" s="97" t="s">
        <v>83</v>
      </c>
      <c r="F416" s="97" t="s">
        <v>2790</v>
      </c>
      <c r="G416" s="97" t="s">
        <v>2805</v>
      </c>
      <c r="H416" s="40" t="s">
        <v>139</v>
      </c>
      <c r="I416" s="99">
        <v>42083</v>
      </c>
      <c r="J416" s="100">
        <v>2</v>
      </c>
      <c r="K416" s="100">
        <v>20</v>
      </c>
      <c r="L416" s="101">
        <v>2015</v>
      </c>
      <c r="M416" s="97" t="s">
        <v>56</v>
      </c>
      <c r="N416" s="97" t="s">
        <v>2774</v>
      </c>
      <c r="O416" s="97" t="s">
        <v>796</v>
      </c>
      <c r="P416" s="102">
        <v>5287.11</v>
      </c>
      <c r="Q416" s="102"/>
      <c r="S416" s="103">
        <v>3</v>
      </c>
      <c r="T416" s="30">
        <f t="shared" si="47"/>
        <v>146.83638888888888</v>
      </c>
      <c r="U416" s="5">
        <v>1321.5274999999999</v>
      </c>
      <c r="V416" s="77">
        <f t="shared" si="48"/>
        <v>1468.3638888888888</v>
      </c>
      <c r="W416" s="77">
        <f t="shared" si="49"/>
        <v>146.83638888888891</v>
      </c>
      <c r="X416" s="77">
        <f t="shared" si="50"/>
        <v>3818.7461111111106</v>
      </c>
      <c r="Y416" s="104"/>
      <c r="AB416" s="67">
        <f t="shared" si="51"/>
        <v>10</v>
      </c>
    </row>
    <row r="417" spans="1:28" s="103" customFormat="1" ht="14.25" customHeight="1" x14ac:dyDescent="0.25">
      <c r="A417" s="97"/>
      <c r="B417" s="97"/>
      <c r="C417" s="97"/>
      <c r="D417" s="7" t="s">
        <v>2806</v>
      </c>
      <c r="E417" s="97" t="s">
        <v>713</v>
      </c>
      <c r="F417" s="97" t="s">
        <v>2807</v>
      </c>
      <c r="G417" s="97" t="s">
        <v>2808</v>
      </c>
      <c r="H417" s="40" t="s">
        <v>139</v>
      </c>
      <c r="I417" s="99">
        <v>42083</v>
      </c>
      <c r="J417" s="100">
        <v>2</v>
      </c>
      <c r="K417" s="100">
        <v>20</v>
      </c>
      <c r="L417" s="101">
        <v>2015</v>
      </c>
      <c r="M417" s="97" t="s">
        <v>56</v>
      </c>
      <c r="N417" s="97" t="s">
        <v>2774</v>
      </c>
      <c r="O417" s="97" t="s">
        <v>796</v>
      </c>
      <c r="P417" s="102">
        <v>48969.79</v>
      </c>
      <c r="Q417" s="102"/>
      <c r="S417" s="103">
        <v>3</v>
      </c>
      <c r="T417" s="30">
        <f t="shared" si="47"/>
        <v>1360.2441666666666</v>
      </c>
      <c r="U417" s="5">
        <v>12242.1975</v>
      </c>
      <c r="V417" s="77">
        <f t="shared" si="48"/>
        <v>13602.441666666666</v>
      </c>
      <c r="W417" s="77">
        <f t="shared" si="49"/>
        <v>1360.2441666666655</v>
      </c>
      <c r="X417" s="77">
        <f t="shared" si="50"/>
        <v>35367.348333333335</v>
      </c>
      <c r="Y417" s="104"/>
      <c r="AB417" s="67">
        <f>IF((DATEDIF(I417,AB$4,"m"))&gt;=36,36,(DATEDIF(I417,AB$4,"m")))</f>
        <v>10</v>
      </c>
    </row>
    <row r="418" spans="1:28" s="111" customFormat="1" x14ac:dyDescent="0.25">
      <c r="A418" s="98"/>
      <c r="B418" s="98"/>
      <c r="C418" s="98"/>
      <c r="D418" s="590" t="s">
        <v>2809</v>
      </c>
      <c r="E418" s="98"/>
      <c r="F418" s="98"/>
      <c r="G418" s="98"/>
      <c r="H418" s="98"/>
      <c r="I418" s="106"/>
      <c r="J418" s="107"/>
      <c r="K418" s="107"/>
      <c r="L418" s="108"/>
      <c r="M418" s="98"/>
      <c r="N418" s="98"/>
      <c r="O418" s="98"/>
      <c r="P418" s="109">
        <f>SUM(P386:P417)</f>
        <v>1037094.9200000002</v>
      </c>
      <c r="Q418" s="110"/>
      <c r="S418" s="112"/>
      <c r="T418" s="109">
        <f>SUM(T386:T417)</f>
        <v>28807.30333333333</v>
      </c>
      <c r="U418" s="109">
        <v>259265.73000000004</v>
      </c>
      <c r="V418" s="109">
        <f t="shared" ref="U418:X418" si="52">SUM(V386:V417)</f>
        <v>288073.0333333335</v>
      </c>
      <c r="W418" s="109">
        <f t="shared" si="52"/>
        <v>28807.303333333315</v>
      </c>
      <c r="X418" s="109">
        <f t="shared" si="52"/>
        <v>749021.88666666695</v>
      </c>
      <c r="AB418" s="137"/>
    </row>
    <row r="419" spans="1:28" s="111" customFormat="1" x14ac:dyDescent="0.25">
      <c r="A419" s="98"/>
      <c r="B419" s="98"/>
      <c r="C419" s="98"/>
      <c r="D419" s="590"/>
      <c r="E419" s="98"/>
      <c r="F419" s="98"/>
      <c r="G419" s="98"/>
      <c r="H419" s="98"/>
      <c r="I419" s="106"/>
      <c r="J419" s="107"/>
      <c r="K419" s="107"/>
      <c r="L419" s="108"/>
      <c r="M419" s="98"/>
      <c r="N419" s="98"/>
      <c r="O419" s="98"/>
      <c r="P419" s="297"/>
      <c r="Q419" s="110"/>
      <c r="S419" s="112"/>
      <c r="T419" s="297"/>
      <c r="U419" s="297"/>
      <c r="V419" s="297"/>
      <c r="W419" s="297"/>
      <c r="X419" s="297"/>
      <c r="AB419" s="137"/>
    </row>
    <row r="420" spans="1:28" s="103" customFormat="1" ht="14.25" customHeight="1" x14ac:dyDescent="0.25">
      <c r="A420" s="97"/>
      <c r="B420" s="97"/>
      <c r="C420" s="97"/>
      <c r="D420" s="7" t="s">
        <v>2830</v>
      </c>
      <c r="E420" s="97" t="s">
        <v>2831</v>
      </c>
      <c r="F420" s="97" t="s">
        <v>2832</v>
      </c>
      <c r="G420" s="97"/>
      <c r="H420" s="40" t="s">
        <v>2833</v>
      </c>
      <c r="I420" s="99">
        <v>42095</v>
      </c>
      <c r="J420" s="100">
        <v>1</v>
      </c>
      <c r="K420" s="100">
        <v>4</v>
      </c>
      <c r="L420" s="101">
        <v>2015</v>
      </c>
      <c r="M420" s="97" t="s">
        <v>56</v>
      </c>
      <c r="N420" s="97" t="s">
        <v>2834</v>
      </c>
      <c r="O420" s="97" t="s">
        <v>796</v>
      </c>
      <c r="P420" s="102">
        <v>1069443.6399999999</v>
      </c>
      <c r="Q420" s="102"/>
      <c r="S420" s="103">
        <v>3</v>
      </c>
      <c r="T420" s="30">
        <f t="shared" ref="T420" si="53">(((P420)-1)/3)/12</f>
        <v>29706.739999999994</v>
      </c>
      <c r="U420" s="5">
        <v>237653.91999999995</v>
      </c>
      <c r="V420" s="77">
        <f t="shared" ref="V420" si="54">T420*AB420</f>
        <v>267360.65999999997</v>
      </c>
      <c r="W420" s="77">
        <f t="shared" ref="W420" si="55">+V420-U420</f>
        <v>29706.74000000002</v>
      </c>
      <c r="X420" s="77">
        <f t="shared" ref="X420" si="56">P420-V420</f>
        <v>802082.98</v>
      </c>
      <c r="Y420" s="104"/>
      <c r="AB420" s="67">
        <f t="shared" ref="AB420" si="57">IF((DATEDIF(I420,AB$4,"m"))&gt;=36,36,(DATEDIF(I420,AB$4,"m")))</f>
        <v>9</v>
      </c>
    </row>
    <row r="421" spans="1:28" s="103" customFormat="1" ht="14.25" customHeight="1" x14ac:dyDescent="0.25">
      <c r="A421" s="97"/>
      <c r="B421" s="97"/>
      <c r="C421" s="97"/>
      <c r="D421" s="7" t="s">
        <v>2817</v>
      </c>
      <c r="E421" s="97" t="s">
        <v>28</v>
      </c>
      <c r="F421" s="97" t="s">
        <v>2827</v>
      </c>
      <c r="G421" s="97" t="s">
        <v>2818</v>
      </c>
      <c r="H421" s="40" t="s">
        <v>2826</v>
      </c>
      <c r="I421" s="99">
        <v>42105</v>
      </c>
      <c r="J421" s="100">
        <v>11</v>
      </c>
      <c r="K421" s="100">
        <v>4</v>
      </c>
      <c r="L421" s="101">
        <v>2015</v>
      </c>
      <c r="M421" s="97" t="s">
        <v>56</v>
      </c>
      <c r="N421" s="97" t="s">
        <v>2828</v>
      </c>
      <c r="O421" s="97" t="s">
        <v>796</v>
      </c>
      <c r="P421" s="102">
        <v>52235.815000000002</v>
      </c>
      <c r="Q421" s="102"/>
      <c r="S421" s="103">
        <v>3</v>
      </c>
      <c r="T421" s="30">
        <f t="shared" ref="T421:T428" si="58">(((P421)-1)/3)/12</f>
        <v>1450.9670833333332</v>
      </c>
      <c r="U421" s="5">
        <v>11607.736666666666</v>
      </c>
      <c r="V421" s="77">
        <f t="shared" ref="V421:V428" si="59">T421*AB421</f>
        <v>13058.703749999999</v>
      </c>
      <c r="W421" s="77">
        <f t="shared" ref="W421:W429" si="60">+V421-U421</f>
        <v>1450.967083333333</v>
      </c>
      <c r="X421" s="77">
        <f t="shared" ref="X421:X429" si="61">P421-V421</f>
        <v>39177.111250000002</v>
      </c>
      <c r="Y421" s="104"/>
      <c r="AB421" s="67">
        <f t="shared" ref="AB421:AB429" si="62">IF((DATEDIF(I421,AB$4,"m"))&gt;=36,36,(DATEDIF(I421,AB$4,"m")))</f>
        <v>9</v>
      </c>
    </row>
    <row r="422" spans="1:28" s="103" customFormat="1" ht="14.25" customHeight="1" x14ac:dyDescent="0.25">
      <c r="A422" s="97"/>
      <c r="B422" s="97"/>
      <c r="C422" s="97"/>
      <c r="D422" s="7" t="s">
        <v>2817</v>
      </c>
      <c r="E422" s="97" t="s">
        <v>28</v>
      </c>
      <c r="F422" s="97" t="s">
        <v>2827</v>
      </c>
      <c r="G422" s="97" t="s">
        <v>2819</v>
      </c>
      <c r="H422" s="40" t="s">
        <v>2826</v>
      </c>
      <c r="I422" s="99">
        <v>42105</v>
      </c>
      <c r="J422" s="100">
        <v>11</v>
      </c>
      <c r="K422" s="100">
        <v>4</v>
      </c>
      <c r="L422" s="101">
        <v>2015</v>
      </c>
      <c r="M422" s="97" t="s">
        <v>56</v>
      </c>
      <c r="N422" s="97" t="s">
        <v>2828</v>
      </c>
      <c r="O422" s="97" t="s">
        <v>796</v>
      </c>
      <c r="P422" s="102">
        <v>52235.815000000002</v>
      </c>
      <c r="Q422" s="102"/>
      <c r="S422" s="103">
        <v>3</v>
      </c>
      <c r="T422" s="30">
        <f t="shared" si="58"/>
        <v>1450.9670833333332</v>
      </c>
      <c r="U422" s="5">
        <v>11607.736666666666</v>
      </c>
      <c r="V422" s="77">
        <f t="shared" si="59"/>
        <v>13058.703749999999</v>
      </c>
      <c r="W422" s="77">
        <f t="shared" si="60"/>
        <v>1450.967083333333</v>
      </c>
      <c r="X422" s="77">
        <f t="shared" si="61"/>
        <v>39177.111250000002</v>
      </c>
      <c r="Y422" s="104"/>
      <c r="AB422" s="67">
        <f t="shared" si="62"/>
        <v>9</v>
      </c>
    </row>
    <row r="423" spans="1:28" s="103" customFormat="1" ht="14.25" customHeight="1" x14ac:dyDescent="0.25">
      <c r="A423" s="97"/>
      <c r="B423" s="97"/>
      <c r="C423" s="97"/>
      <c r="D423" s="7" t="s">
        <v>2817</v>
      </c>
      <c r="E423" s="97" t="s">
        <v>28</v>
      </c>
      <c r="F423" s="97" t="s">
        <v>2827</v>
      </c>
      <c r="G423" s="97" t="s">
        <v>2820</v>
      </c>
      <c r="H423" s="40" t="s">
        <v>2826</v>
      </c>
      <c r="I423" s="99">
        <v>42105</v>
      </c>
      <c r="J423" s="100">
        <v>11</v>
      </c>
      <c r="K423" s="100">
        <v>4</v>
      </c>
      <c r="L423" s="101">
        <v>2015</v>
      </c>
      <c r="M423" s="97" t="s">
        <v>56</v>
      </c>
      <c r="N423" s="97" t="s">
        <v>2828</v>
      </c>
      <c r="O423" s="97" t="s">
        <v>796</v>
      </c>
      <c r="P423" s="102">
        <v>52235.815000000002</v>
      </c>
      <c r="Q423" s="102"/>
      <c r="S423" s="103">
        <v>3</v>
      </c>
      <c r="T423" s="30">
        <f t="shared" si="58"/>
        <v>1450.9670833333332</v>
      </c>
      <c r="U423" s="5">
        <v>11607.736666666666</v>
      </c>
      <c r="V423" s="77">
        <f t="shared" si="59"/>
        <v>13058.703749999999</v>
      </c>
      <c r="W423" s="77">
        <f t="shared" si="60"/>
        <v>1450.967083333333</v>
      </c>
      <c r="X423" s="77">
        <f t="shared" si="61"/>
        <v>39177.111250000002</v>
      </c>
      <c r="Y423" s="104"/>
      <c r="AB423" s="67">
        <f t="shared" si="62"/>
        <v>9</v>
      </c>
    </row>
    <row r="424" spans="1:28" s="103" customFormat="1" ht="14.25" customHeight="1" x14ac:dyDescent="0.25">
      <c r="A424" s="97"/>
      <c r="B424" s="97"/>
      <c r="C424" s="97"/>
      <c r="D424" s="7" t="s">
        <v>2817</v>
      </c>
      <c r="E424" s="97" t="s">
        <v>28</v>
      </c>
      <c r="F424" s="97" t="s">
        <v>2827</v>
      </c>
      <c r="G424" s="97" t="s">
        <v>2821</v>
      </c>
      <c r="H424" s="40" t="s">
        <v>2826</v>
      </c>
      <c r="I424" s="99">
        <v>42105</v>
      </c>
      <c r="J424" s="100">
        <v>11</v>
      </c>
      <c r="K424" s="100">
        <v>4</v>
      </c>
      <c r="L424" s="101">
        <v>2015</v>
      </c>
      <c r="M424" s="97" t="s">
        <v>56</v>
      </c>
      <c r="N424" s="97" t="s">
        <v>2828</v>
      </c>
      <c r="O424" s="97" t="s">
        <v>796</v>
      </c>
      <c r="P424" s="102">
        <v>52235.815000000002</v>
      </c>
      <c r="Q424" s="102"/>
      <c r="S424" s="103">
        <v>3</v>
      </c>
      <c r="T424" s="30">
        <f t="shared" si="58"/>
        <v>1450.9670833333332</v>
      </c>
      <c r="U424" s="5">
        <v>11607.736666666666</v>
      </c>
      <c r="V424" s="77">
        <f t="shared" si="59"/>
        <v>13058.703749999999</v>
      </c>
      <c r="W424" s="77">
        <f t="shared" si="60"/>
        <v>1450.967083333333</v>
      </c>
      <c r="X424" s="77">
        <f t="shared" si="61"/>
        <v>39177.111250000002</v>
      </c>
      <c r="Y424" s="104"/>
      <c r="AB424" s="67">
        <f t="shared" si="62"/>
        <v>9</v>
      </c>
    </row>
    <row r="425" spans="1:28" s="103" customFormat="1" ht="14.25" customHeight="1" x14ac:dyDescent="0.25">
      <c r="A425" s="97"/>
      <c r="B425" s="97"/>
      <c r="C425" s="97"/>
      <c r="D425" s="7" t="s">
        <v>2817</v>
      </c>
      <c r="E425" s="97" t="s">
        <v>28</v>
      </c>
      <c r="F425" s="97" t="s">
        <v>2827</v>
      </c>
      <c r="G425" s="97" t="s">
        <v>2822</v>
      </c>
      <c r="H425" s="40" t="s">
        <v>2826</v>
      </c>
      <c r="I425" s="99">
        <v>42105</v>
      </c>
      <c r="J425" s="100">
        <v>11</v>
      </c>
      <c r="K425" s="100">
        <v>4</v>
      </c>
      <c r="L425" s="101">
        <v>2015</v>
      </c>
      <c r="M425" s="97" t="s">
        <v>56</v>
      </c>
      <c r="N425" s="97" t="s">
        <v>2828</v>
      </c>
      <c r="O425" s="97" t="s">
        <v>796</v>
      </c>
      <c r="P425" s="102">
        <v>52235.815000000002</v>
      </c>
      <c r="Q425" s="102"/>
      <c r="S425" s="103">
        <v>3</v>
      </c>
      <c r="T425" s="30">
        <f t="shared" si="58"/>
        <v>1450.9670833333332</v>
      </c>
      <c r="U425" s="5">
        <v>11607.736666666666</v>
      </c>
      <c r="V425" s="77">
        <f t="shared" si="59"/>
        <v>13058.703749999999</v>
      </c>
      <c r="W425" s="77">
        <f t="shared" si="60"/>
        <v>1450.967083333333</v>
      </c>
      <c r="X425" s="77">
        <f t="shared" si="61"/>
        <v>39177.111250000002</v>
      </c>
      <c r="Y425" s="104"/>
      <c r="AB425" s="67">
        <f t="shared" si="62"/>
        <v>9</v>
      </c>
    </row>
    <row r="426" spans="1:28" s="103" customFormat="1" ht="14.25" customHeight="1" x14ac:dyDescent="0.25">
      <c r="A426" s="97"/>
      <c r="B426" s="97"/>
      <c r="C426" s="97"/>
      <c r="D426" s="7" t="s">
        <v>2817</v>
      </c>
      <c r="E426" s="97" t="s">
        <v>28</v>
      </c>
      <c r="F426" s="97" t="s">
        <v>2827</v>
      </c>
      <c r="G426" s="97" t="s">
        <v>2823</v>
      </c>
      <c r="H426" s="40" t="s">
        <v>2826</v>
      </c>
      <c r="I426" s="99">
        <v>42105</v>
      </c>
      <c r="J426" s="100">
        <v>11</v>
      </c>
      <c r="K426" s="100">
        <v>4</v>
      </c>
      <c r="L426" s="101">
        <v>2015</v>
      </c>
      <c r="M426" s="97" t="s">
        <v>56</v>
      </c>
      <c r="N426" s="97" t="s">
        <v>2828</v>
      </c>
      <c r="O426" s="97" t="s">
        <v>796</v>
      </c>
      <c r="P426" s="102">
        <v>52235.815000000002</v>
      </c>
      <c r="Q426" s="102"/>
      <c r="S426" s="103">
        <v>3</v>
      </c>
      <c r="T426" s="30">
        <f t="shared" si="58"/>
        <v>1450.9670833333332</v>
      </c>
      <c r="U426" s="5">
        <v>11607.736666666666</v>
      </c>
      <c r="V426" s="77">
        <f t="shared" si="59"/>
        <v>13058.703749999999</v>
      </c>
      <c r="W426" s="77">
        <f t="shared" si="60"/>
        <v>1450.967083333333</v>
      </c>
      <c r="X426" s="77">
        <f t="shared" si="61"/>
        <v>39177.111250000002</v>
      </c>
      <c r="Y426" s="104"/>
      <c r="AB426" s="67">
        <f t="shared" si="62"/>
        <v>9</v>
      </c>
    </row>
    <row r="427" spans="1:28" s="103" customFormat="1" ht="14.25" customHeight="1" x14ac:dyDescent="0.25">
      <c r="A427" s="97"/>
      <c r="B427" s="97"/>
      <c r="C427" s="97"/>
      <c r="D427" s="7" t="s">
        <v>2817</v>
      </c>
      <c r="E427" s="97" t="s">
        <v>28</v>
      </c>
      <c r="F427" s="97" t="s">
        <v>2827</v>
      </c>
      <c r="G427" s="97" t="s">
        <v>2824</v>
      </c>
      <c r="H427" s="40" t="s">
        <v>2826</v>
      </c>
      <c r="I427" s="99">
        <v>42105</v>
      </c>
      <c r="J427" s="100">
        <v>11</v>
      </c>
      <c r="K427" s="100">
        <v>4</v>
      </c>
      <c r="L427" s="101">
        <v>2015</v>
      </c>
      <c r="M427" s="97" t="s">
        <v>56</v>
      </c>
      <c r="N427" s="97" t="s">
        <v>2828</v>
      </c>
      <c r="O427" s="97" t="s">
        <v>796</v>
      </c>
      <c r="P427" s="102">
        <v>52235.815000000002</v>
      </c>
      <c r="Q427" s="102"/>
      <c r="S427" s="103">
        <v>3</v>
      </c>
      <c r="T427" s="30">
        <f t="shared" si="58"/>
        <v>1450.9670833333332</v>
      </c>
      <c r="U427" s="5">
        <v>11607.736666666666</v>
      </c>
      <c r="V427" s="77">
        <f t="shared" si="59"/>
        <v>13058.703749999999</v>
      </c>
      <c r="W427" s="77">
        <f t="shared" si="60"/>
        <v>1450.967083333333</v>
      </c>
      <c r="X427" s="77">
        <f t="shared" si="61"/>
        <v>39177.111250000002</v>
      </c>
      <c r="Y427" s="104"/>
      <c r="AB427" s="67">
        <f t="shared" si="62"/>
        <v>9</v>
      </c>
    </row>
    <row r="428" spans="1:28" s="103" customFormat="1" ht="14.25" customHeight="1" x14ac:dyDescent="0.25">
      <c r="A428" s="97"/>
      <c r="B428" s="97"/>
      <c r="C428" s="97"/>
      <c r="D428" s="7" t="s">
        <v>2817</v>
      </c>
      <c r="E428" s="97" t="s">
        <v>28</v>
      </c>
      <c r="F428" s="97" t="s">
        <v>2827</v>
      </c>
      <c r="G428" s="97" t="s">
        <v>2825</v>
      </c>
      <c r="H428" s="40" t="s">
        <v>2826</v>
      </c>
      <c r="I428" s="99">
        <v>42105</v>
      </c>
      <c r="J428" s="100">
        <v>11</v>
      </c>
      <c r="K428" s="100">
        <v>4</v>
      </c>
      <c r="L428" s="101">
        <v>2015</v>
      </c>
      <c r="M428" s="97" t="s">
        <v>56</v>
      </c>
      <c r="N428" s="97" t="s">
        <v>2828</v>
      </c>
      <c r="O428" s="97" t="s">
        <v>796</v>
      </c>
      <c r="P428" s="102">
        <v>52235.815000000002</v>
      </c>
      <c r="Q428" s="102"/>
      <c r="S428" s="103">
        <v>3</v>
      </c>
      <c r="T428" s="30">
        <f t="shared" si="58"/>
        <v>1450.9670833333332</v>
      </c>
      <c r="U428" s="5">
        <v>11607.736666666666</v>
      </c>
      <c r="V428" s="77">
        <f t="shared" si="59"/>
        <v>13058.703749999999</v>
      </c>
      <c r="W428" s="77">
        <f t="shared" si="60"/>
        <v>1450.967083333333</v>
      </c>
      <c r="X428" s="77">
        <f t="shared" si="61"/>
        <v>39177.111250000002</v>
      </c>
      <c r="Y428" s="104"/>
      <c r="AB428" s="67">
        <f t="shared" si="62"/>
        <v>9</v>
      </c>
    </row>
    <row r="429" spans="1:28" s="103" customFormat="1" ht="14.25" customHeight="1" x14ac:dyDescent="0.25">
      <c r="A429" s="97"/>
      <c r="B429" s="97"/>
      <c r="C429" s="97"/>
      <c r="D429" s="7" t="s">
        <v>2836</v>
      </c>
      <c r="E429" s="97" t="s">
        <v>713</v>
      </c>
      <c r="F429" s="97" t="s">
        <v>811</v>
      </c>
      <c r="G429" s="97" t="s">
        <v>2838</v>
      </c>
      <c r="H429" s="40" t="s">
        <v>139</v>
      </c>
      <c r="I429" s="99">
        <v>42114</v>
      </c>
      <c r="J429" s="100">
        <v>20</v>
      </c>
      <c r="K429" s="100">
        <v>4</v>
      </c>
      <c r="L429" s="101">
        <v>2015</v>
      </c>
      <c r="M429" s="97" t="s">
        <v>56</v>
      </c>
      <c r="N429" s="97" t="s">
        <v>2837</v>
      </c>
      <c r="O429" s="97" t="s">
        <v>796</v>
      </c>
      <c r="P429" s="102">
        <v>11125</v>
      </c>
      <c r="Q429" s="102"/>
      <c r="S429" s="103">
        <v>3</v>
      </c>
      <c r="T429" s="30">
        <f>(((P429)-1)/3)/12</f>
        <v>309</v>
      </c>
      <c r="U429" s="5">
        <v>2472</v>
      </c>
      <c r="V429" s="77">
        <f>T429*AB429</f>
        <v>2781</v>
      </c>
      <c r="W429" s="77">
        <f t="shared" si="60"/>
        <v>309</v>
      </c>
      <c r="X429" s="77">
        <f t="shared" si="61"/>
        <v>8344</v>
      </c>
      <c r="Y429" s="104"/>
      <c r="AB429" s="67">
        <f t="shared" si="62"/>
        <v>9</v>
      </c>
    </row>
    <row r="430" spans="1:28" s="111" customFormat="1" x14ac:dyDescent="0.25">
      <c r="A430" s="98"/>
      <c r="B430" s="98"/>
      <c r="C430" s="98"/>
      <c r="D430" s="590" t="s">
        <v>2829</v>
      </c>
      <c r="E430" s="98"/>
      <c r="F430" s="98"/>
      <c r="G430" s="97"/>
      <c r="H430" s="98"/>
      <c r="I430" s="106"/>
      <c r="J430" s="107"/>
      <c r="K430" s="107"/>
      <c r="L430" s="108"/>
      <c r="M430" s="98"/>
      <c r="N430" s="98"/>
      <c r="O430" s="98"/>
      <c r="P430" s="109">
        <f>SUM(P420:P429)</f>
        <v>1498455.1599999995</v>
      </c>
      <c r="Q430" s="110"/>
      <c r="S430" s="112"/>
      <c r="T430" s="109">
        <f>SUM(T420:T429)</f>
        <v>41623.476666666676</v>
      </c>
      <c r="U430" s="109">
        <v>332987.81333333341</v>
      </c>
      <c r="V430" s="109">
        <f t="shared" ref="U430:X430" si="63">SUM(V420:V429)</f>
        <v>374611.28999999986</v>
      </c>
      <c r="W430" s="109">
        <f t="shared" si="63"/>
        <v>41623.476666666698</v>
      </c>
      <c r="X430" s="109">
        <f t="shared" si="63"/>
        <v>1123843.8699999999</v>
      </c>
      <c r="AB430" s="137"/>
    </row>
    <row r="431" spans="1:28" s="111" customFormat="1" x14ac:dyDescent="0.25">
      <c r="A431" s="98"/>
      <c r="B431" s="98"/>
      <c r="C431" s="98"/>
      <c r="D431" s="590"/>
      <c r="E431" s="98"/>
      <c r="F431" s="98"/>
      <c r="G431" s="98"/>
      <c r="H431" s="98"/>
      <c r="I431" s="106"/>
      <c r="J431" s="107"/>
      <c r="K431" s="107"/>
      <c r="L431" s="108"/>
      <c r="M431" s="98"/>
      <c r="N431" s="98"/>
      <c r="O431" s="98"/>
      <c r="P431" s="297"/>
      <c r="Q431" s="110"/>
      <c r="S431" s="112"/>
      <c r="T431" s="297"/>
      <c r="U431" s="297"/>
      <c r="V431" s="297"/>
      <c r="W431" s="297"/>
      <c r="X431" s="297"/>
      <c r="AB431" s="137"/>
    </row>
    <row r="432" spans="1:28" s="103" customFormat="1" ht="14.25" customHeight="1" x14ac:dyDescent="0.25">
      <c r="A432" s="97"/>
      <c r="B432" s="97"/>
      <c r="C432" s="97"/>
      <c r="D432" s="7" t="s">
        <v>2869</v>
      </c>
      <c r="E432" s="97" t="s">
        <v>2868</v>
      </c>
      <c r="F432" s="97"/>
      <c r="G432" s="97" t="s">
        <v>2870</v>
      </c>
      <c r="H432" s="40" t="s">
        <v>2867</v>
      </c>
      <c r="I432" s="99">
        <v>42143</v>
      </c>
      <c r="J432" s="100">
        <v>19</v>
      </c>
      <c r="K432" s="100">
        <v>5</v>
      </c>
      <c r="L432" s="101">
        <v>2015</v>
      </c>
      <c r="M432" s="97" t="s">
        <v>56</v>
      </c>
      <c r="N432" s="97" t="s">
        <v>2866</v>
      </c>
      <c r="O432" s="97" t="s">
        <v>796</v>
      </c>
      <c r="P432" s="102">
        <v>74800</v>
      </c>
      <c r="Q432" s="102"/>
      <c r="S432" s="103">
        <v>3</v>
      </c>
      <c r="T432" s="30">
        <f>(((P432)-1)/3)/12</f>
        <v>2077.75</v>
      </c>
      <c r="U432" s="5">
        <v>14544.25</v>
      </c>
      <c r="V432" s="77">
        <f>T432*AB432</f>
        <v>16622</v>
      </c>
      <c r="W432" s="77">
        <f>+V432-U432</f>
        <v>2077.75</v>
      </c>
      <c r="X432" s="77">
        <f>P432-V432</f>
        <v>58178</v>
      </c>
      <c r="Y432" s="104"/>
      <c r="AB432" s="67">
        <f t="shared" ref="AB432" si="64">IF((DATEDIF(I432,AB$4,"m"))&gt;=36,36,(DATEDIF(I432,AB$4,"m")))</f>
        <v>8</v>
      </c>
    </row>
    <row r="433" spans="1:28" s="111" customFormat="1" x14ac:dyDescent="0.25">
      <c r="A433" s="98"/>
      <c r="B433" s="98"/>
      <c r="C433" s="98"/>
      <c r="D433" s="590" t="s">
        <v>2871</v>
      </c>
      <c r="E433" s="98"/>
      <c r="F433" s="98"/>
      <c r="G433" s="97"/>
      <c r="H433" s="98"/>
      <c r="I433" s="106"/>
      <c r="J433" s="107"/>
      <c r="K433" s="107"/>
      <c r="L433" s="108"/>
      <c r="M433" s="98"/>
      <c r="N433" s="98"/>
      <c r="O433" s="98"/>
      <c r="P433" s="109">
        <f>SUM(P432)</f>
        <v>74800</v>
      </c>
      <c r="Q433" s="110"/>
      <c r="S433" s="112"/>
      <c r="T433" s="109">
        <f>SUM(T432)</f>
        <v>2077.75</v>
      </c>
      <c r="U433" s="109">
        <v>14544.25</v>
      </c>
      <c r="V433" s="109">
        <f t="shared" ref="U433:X433" si="65">SUM(V432)</f>
        <v>16622</v>
      </c>
      <c r="W433" s="109">
        <f t="shared" si="65"/>
        <v>2077.75</v>
      </c>
      <c r="X433" s="109">
        <f t="shared" si="65"/>
        <v>58178</v>
      </c>
      <c r="AB433" s="137"/>
    </row>
    <row r="434" spans="1:28" s="111" customFormat="1" x14ac:dyDescent="0.25">
      <c r="A434" s="98"/>
      <c r="B434" s="98"/>
      <c r="C434" s="98"/>
      <c r="D434" s="590"/>
      <c r="E434" s="98"/>
      <c r="F434" s="98"/>
      <c r="G434" s="97"/>
      <c r="H434" s="98"/>
      <c r="I434" s="106"/>
      <c r="J434" s="107"/>
      <c r="K434" s="107"/>
      <c r="L434" s="108"/>
      <c r="M434" s="98"/>
      <c r="N434" s="98"/>
      <c r="O434" s="98"/>
      <c r="P434" s="297"/>
      <c r="Q434" s="110"/>
      <c r="S434" s="112"/>
      <c r="T434" s="297"/>
      <c r="U434" s="297"/>
      <c r="V434" s="297"/>
      <c r="W434" s="297"/>
      <c r="X434" s="297"/>
      <c r="AB434" s="137"/>
    </row>
    <row r="435" spans="1:28" s="111" customFormat="1" x14ac:dyDescent="0.25">
      <c r="A435" s="98"/>
      <c r="B435" s="98"/>
      <c r="C435" s="98"/>
      <c r="D435" s="590"/>
      <c r="E435" s="98"/>
      <c r="F435" s="98"/>
      <c r="G435" s="97"/>
      <c r="H435" s="98"/>
      <c r="I435" s="106"/>
      <c r="J435" s="107"/>
      <c r="K435" s="107"/>
      <c r="L435" s="108"/>
      <c r="M435" s="98"/>
      <c r="N435" s="98"/>
      <c r="O435" s="98"/>
      <c r="P435" s="297"/>
      <c r="Q435" s="110"/>
      <c r="S435" s="112"/>
      <c r="T435" s="297"/>
      <c r="U435" s="297"/>
      <c r="V435" s="297"/>
      <c r="W435" s="297"/>
      <c r="X435" s="297"/>
      <c r="AB435" s="137"/>
    </row>
    <row r="436" spans="1:28" s="103" customFormat="1" ht="14.25" customHeight="1" x14ac:dyDescent="0.25">
      <c r="A436" s="97"/>
      <c r="B436" s="97"/>
      <c r="C436" s="97"/>
      <c r="D436" s="7" t="s">
        <v>2872</v>
      </c>
      <c r="E436" s="97" t="s">
        <v>83</v>
      </c>
      <c r="F436" s="97" t="s">
        <v>2873</v>
      </c>
      <c r="G436" s="97" t="s">
        <v>2874</v>
      </c>
      <c r="H436" s="40" t="s">
        <v>139</v>
      </c>
      <c r="I436" s="99">
        <v>42177</v>
      </c>
      <c r="J436" s="100">
        <v>22</v>
      </c>
      <c r="K436" s="100">
        <v>6</v>
      </c>
      <c r="L436" s="101">
        <v>2015</v>
      </c>
      <c r="M436" s="97" t="s">
        <v>56</v>
      </c>
      <c r="N436" s="97" t="s">
        <v>2875</v>
      </c>
      <c r="O436" s="97" t="s">
        <v>796</v>
      </c>
      <c r="P436" s="102">
        <v>81278.720000000001</v>
      </c>
      <c r="Q436" s="102"/>
      <c r="S436" s="103">
        <v>3</v>
      </c>
      <c r="T436" s="30">
        <f>(((P436)-1)/3)/12</f>
        <v>2257.7144444444443</v>
      </c>
      <c r="U436" s="5">
        <v>13546.286666666667</v>
      </c>
      <c r="V436" s="77">
        <f>T436*AB436</f>
        <v>15804.001111111111</v>
      </c>
      <c r="W436" s="77">
        <f>+V436-U436</f>
        <v>2257.7144444444439</v>
      </c>
      <c r="X436" s="77">
        <f>P436-V436</f>
        <v>65474.718888888892</v>
      </c>
      <c r="Y436" s="104"/>
      <c r="AB436" s="67">
        <f t="shared" ref="AB436" si="66">IF((DATEDIF(I436,AB$4,"m"))&gt;=36,36,(DATEDIF(I436,AB$4,"m")))</f>
        <v>7</v>
      </c>
    </row>
    <row r="437" spans="1:28" s="111" customFormat="1" x14ac:dyDescent="0.25">
      <c r="A437" s="98"/>
      <c r="B437" s="98"/>
      <c r="C437" s="98"/>
      <c r="D437" s="590" t="s">
        <v>2876</v>
      </c>
      <c r="E437" s="98"/>
      <c r="F437" s="98"/>
      <c r="G437" s="97"/>
      <c r="H437" s="98"/>
      <c r="I437" s="106"/>
      <c r="J437" s="107"/>
      <c r="K437" s="107"/>
      <c r="L437" s="108"/>
      <c r="M437" s="98"/>
      <c r="N437" s="98"/>
      <c r="O437" s="98"/>
      <c r="P437" s="109">
        <f>SUM(P436)</f>
        <v>81278.720000000001</v>
      </c>
      <c r="Q437" s="110"/>
      <c r="S437" s="112"/>
      <c r="T437" s="109">
        <f>SUM(T436)</f>
        <v>2257.7144444444443</v>
      </c>
      <c r="U437" s="109">
        <v>13546.286666666667</v>
      </c>
      <c r="V437" s="109">
        <f t="shared" ref="U437:X437" si="67">SUM(V436)</f>
        <v>15804.001111111111</v>
      </c>
      <c r="W437" s="109">
        <f t="shared" si="67"/>
        <v>2257.7144444444439</v>
      </c>
      <c r="X437" s="109">
        <f t="shared" si="67"/>
        <v>65474.718888888892</v>
      </c>
      <c r="AB437" s="137"/>
    </row>
    <row r="438" spans="1:28" s="111" customFormat="1" x14ac:dyDescent="0.25">
      <c r="A438" s="98"/>
      <c r="B438" s="98"/>
      <c r="C438" s="98"/>
      <c r="D438" s="590"/>
      <c r="E438" s="98"/>
      <c r="F438" s="98"/>
      <c r="G438" s="97"/>
      <c r="H438" s="98"/>
      <c r="I438" s="106"/>
      <c r="J438" s="107"/>
      <c r="K438" s="107"/>
      <c r="L438" s="108"/>
      <c r="M438" s="98"/>
      <c r="N438" s="98"/>
      <c r="O438" s="98"/>
      <c r="P438" s="297"/>
      <c r="Q438" s="110"/>
      <c r="S438" s="112"/>
      <c r="T438" s="297"/>
      <c r="U438" s="297"/>
      <c r="V438" s="297"/>
      <c r="W438" s="297"/>
      <c r="X438" s="297"/>
      <c r="AB438" s="137"/>
    </row>
    <row r="439" spans="1:28" s="33" customFormat="1" x14ac:dyDescent="0.25">
      <c r="A439" s="40"/>
      <c r="B439" s="40"/>
      <c r="C439" s="40"/>
      <c r="D439" s="40"/>
      <c r="E439" s="40"/>
      <c r="F439" s="40"/>
      <c r="G439" s="40"/>
      <c r="H439" s="40"/>
      <c r="I439" s="52"/>
      <c r="J439" s="63"/>
      <c r="K439" s="63"/>
      <c r="L439" s="64"/>
      <c r="M439" s="40"/>
      <c r="N439" s="40"/>
      <c r="O439" s="40"/>
      <c r="P439" s="28"/>
      <c r="S439" s="52"/>
      <c r="T439" s="28"/>
      <c r="U439" s="28"/>
      <c r="V439" s="28"/>
      <c r="AB439" s="67"/>
    </row>
    <row r="440" spans="1:28" s="103" customFormat="1" ht="14.25" customHeight="1" x14ac:dyDescent="0.25">
      <c r="A440" s="97"/>
      <c r="B440" s="97"/>
      <c r="C440" s="97"/>
      <c r="D440" s="7" t="s">
        <v>2836</v>
      </c>
      <c r="E440" s="97" t="s">
        <v>28</v>
      </c>
      <c r="F440" s="97" t="s">
        <v>811</v>
      </c>
      <c r="G440" s="97" t="s">
        <v>2883</v>
      </c>
      <c r="H440" s="40" t="s">
        <v>139</v>
      </c>
      <c r="I440" s="99">
        <v>42194</v>
      </c>
      <c r="J440" s="100">
        <v>9</v>
      </c>
      <c r="K440" s="100">
        <v>7</v>
      </c>
      <c r="L440" s="101">
        <v>2015</v>
      </c>
      <c r="M440" s="97" t="s">
        <v>56</v>
      </c>
      <c r="N440" s="97" t="s">
        <v>2884</v>
      </c>
      <c r="O440" s="97" t="s">
        <v>796</v>
      </c>
      <c r="P440" s="102">
        <v>10000</v>
      </c>
      <c r="Q440" s="102"/>
      <c r="S440" s="103">
        <v>3</v>
      </c>
      <c r="T440" s="30">
        <f>(((P440)-1)/3)/12</f>
        <v>277.75</v>
      </c>
      <c r="U440" s="5">
        <v>1388.75</v>
      </c>
      <c r="V440" s="77">
        <f>T440*AB440</f>
        <v>1666.5</v>
      </c>
      <c r="W440" s="77">
        <f t="shared" ref="W440" si="68">+V440-U440</f>
        <v>277.75</v>
      </c>
      <c r="X440" s="77">
        <f t="shared" ref="X440" si="69">P440-V440</f>
        <v>8333.5</v>
      </c>
      <c r="Y440" s="104"/>
      <c r="AB440" s="67">
        <f t="shared" ref="AB440" si="70">IF((DATEDIF(I440,AB$4,"m"))&gt;=36,36,(DATEDIF(I440,AB$4,"m")))</f>
        <v>6</v>
      </c>
    </row>
    <row r="441" spans="1:28" s="103" customFormat="1" ht="14.25" customHeight="1" x14ac:dyDescent="0.25">
      <c r="A441" s="97"/>
      <c r="B441" s="97"/>
      <c r="C441" s="97"/>
      <c r="D441" s="7" t="s">
        <v>2836</v>
      </c>
      <c r="E441" s="97" t="s">
        <v>28</v>
      </c>
      <c r="F441" s="97" t="s">
        <v>2885</v>
      </c>
      <c r="G441" s="97" t="s">
        <v>2886</v>
      </c>
      <c r="H441" s="40" t="s">
        <v>2826</v>
      </c>
      <c r="I441" s="99">
        <v>42199</v>
      </c>
      <c r="J441" s="100">
        <v>14</v>
      </c>
      <c r="K441" s="100">
        <v>7</v>
      </c>
      <c r="L441" s="101">
        <v>2015</v>
      </c>
      <c r="M441" s="97" t="s">
        <v>56</v>
      </c>
      <c r="N441" s="97" t="s">
        <v>2887</v>
      </c>
      <c r="O441" s="97" t="s">
        <v>796</v>
      </c>
      <c r="P441" s="102">
        <v>23411.200000000001</v>
      </c>
      <c r="Q441" s="102"/>
      <c r="S441" s="103">
        <v>3</v>
      </c>
      <c r="T441" s="30">
        <f>(((P441)-1)/3)/12</f>
        <v>650.28333333333342</v>
      </c>
      <c r="U441" s="5">
        <v>3251.416666666667</v>
      </c>
      <c r="V441" s="77">
        <f>T441*AB441</f>
        <v>3901.7000000000007</v>
      </c>
      <c r="W441" s="77">
        <f t="shared" ref="W441" si="71">+V441-U441</f>
        <v>650.28333333333376</v>
      </c>
      <c r="X441" s="77">
        <f t="shared" ref="X441" si="72">P441-V441</f>
        <v>19509.5</v>
      </c>
      <c r="Y441" s="104"/>
      <c r="AB441" s="67">
        <f t="shared" ref="AB441" si="73">IF((DATEDIF(I441,AB$4,"m"))&gt;=36,36,(DATEDIF(I441,AB$4,"m")))</f>
        <v>6</v>
      </c>
    </row>
    <row r="442" spans="1:28" s="111" customFormat="1" x14ac:dyDescent="0.25">
      <c r="A442" s="98"/>
      <c r="B442" s="98"/>
      <c r="C442" s="98"/>
      <c r="D442" s="590" t="s">
        <v>2882</v>
      </c>
      <c r="E442" s="98"/>
      <c r="F442" s="98"/>
      <c r="G442" s="97"/>
      <c r="H442" s="98"/>
      <c r="I442" s="106"/>
      <c r="J442" s="107"/>
      <c r="K442" s="107"/>
      <c r="L442" s="108"/>
      <c r="M442" s="98"/>
      <c r="N442" s="98"/>
      <c r="O442" s="98"/>
      <c r="P442" s="109">
        <f>SUM(P440:P441)</f>
        <v>33411.199999999997</v>
      </c>
      <c r="Q442" s="110"/>
      <c r="S442" s="112"/>
      <c r="T442" s="109">
        <f>SUM(T440:T441)</f>
        <v>928.03333333333342</v>
      </c>
      <c r="U442" s="109">
        <v>4640.166666666667</v>
      </c>
      <c r="V442" s="109">
        <f t="shared" ref="U442:X442" si="74">SUM(V440:V441)</f>
        <v>5568.2000000000007</v>
      </c>
      <c r="W442" s="109">
        <f t="shared" si="74"/>
        <v>928.03333333333376</v>
      </c>
      <c r="X442" s="109">
        <f t="shared" si="74"/>
        <v>27843</v>
      </c>
      <c r="AB442" s="137"/>
    </row>
    <row r="443" spans="1:28" s="33" customFormat="1" x14ac:dyDescent="0.25">
      <c r="A443" s="40"/>
      <c r="B443" s="40"/>
      <c r="C443" s="40"/>
      <c r="D443" s="40"/>
      <c r="E443" s="40"/>
      <c r="F443" s="40"/>
      <c r="G443" s="40"/>
      <c r="H443" s="40"/>
      <c r="I443" s="52"/>
      <c r="J443" s="63"/>
      <c r="K443" s="63"/>
      <c r="L443" s="64"/>
      <c r="M443" s="40"/>
      <c r="N443" s="40"/>
      <c r="O443" s="40"/>
      <c r="P443" s="28"/>
      <c r="S443" s="52"/>
      <c r="T443" s="28"/>
      <c r="U443" s="28"/>
      <c r="V443" s="28"/>
      <c r="AB443" s="67"/>
    </row>
    <row r="444" spans="1:28" s="33" customFormat="1" x14ac:dyDescent="0.25">
      <c r="A444" s="40"/>
      <c r="B444" s="40"/>
      <c r="C444" s="40"/>
      <c r="D444" s="40"/>
      <c r="E444" s="40"/>
      <c r="F444" s="40"/>
      <c r="G444" s="40"/>
      <c r="H444" s="40"/>
      <c r="I444" s="52"/>
      <c r="J444" s="63"/>
      <c r="K444" s="63"/>
      <c r="L444" s="64"/>
      <c r="M444" s="40"/>
      <c r="N444" s="40"/>
      <c r="O444" s="40"/>
      <c r="P444" s="28"/>
      <c r="S444" s="52"/>
      <c r="T444" s="28"/>
      <c r="U444" s="28"/>
      <c r="V444" s="28"/>
      <c r="AB444" s="67"/>
    </row>
    <row r="445" spans="1:28" s="33" customFormat="1" x14ac:dyDescent="0.25">
      <c r="A445" s="40"/>
      <c r="B445" s="40"/>
      <c r="C445" s="40"/>
      <c r="D445" s="40"/>
      <c r="E445" s="40"/>
      <c r="F445" s="40"/>
      <c r="G445" s="40"/>
      <c r="H445" s="40"/>
      <c r="I445" s="52"/>
      <c r="J445" s="63"/>
      <c r="K445" s="63"/>
      <c r="L445" s="64"/>
      <c r="M445" s="40"/>
      <c r="N445" s="40"/>
      <c r="O445" s="40"/>
      <c r="P445" s="28"/>
      <c r="S445" s="52"/>
      <c r="T445" s="28"/>
      <c r="U445" s="28"/>
      <c r="V445" s="28"/>
      <c r="AB445" s="67"/>
    </row>
    <row r="446" spans="1:28" s="111" customFormat="1" x14ac:dyDescent="0.25">
      <c r="A446" s="590" t="s">
        <v>2749</v>
      </c>
      <c r="B446" s="98"/>
      <c r="C446" s="98"/>
      <c r="E446" s="98"/>
      <c r="F446" s="98"/>
      <c r="G446" s="98"/>
      <c r="H446" s="98"/>
      <c r="I446" s="106"/>
      <c r="J446" s="107"/>
      <c r="K446" s="107"/>
      <c r="L446" s="108"/>
      <c r="M446" s="98"/>
      <c r="N446" s="98"/>
      <c r="O446" s="98"/>
      <c r="P446" s="591">
        <f>+P418+P384+P381+P430+P433+P437+P442</f>
        <v>2882793.42</v>
      </c>
      <c r="Q446" s="616"/>
      <c r="R446" s="616"/>
      <c r="S446" s="103"/>
      <c r="T446" s="591">
        <f>+T381+T384+T418+T430+T433+T437+T442</f>
        <v>80076.261666666687</v>
      </c>
      <c r="U446" s="591">
        <v>672422.84722222225</v>
      </c>
      <c r="V446" s="591">
        <f>+V381+V384+V418+V430+V433+V437+V442</f>
        <v>752499.10888888896</v>
      </c>
      <c r="W446" s="591">
        <f>+W381+W384+W418+W430+W433+W437+W442</f>
        <v>80076.261666666687</v>
      </c>
      <c r="X446" s="591">
        <f>+X381+X384+X418+X430+X433+X437+X442</f>
        <v>2130294.3111111112</v>
      </c>
      <c r="Z446" s="137"/>
    </row>
    <row r="447" spans="1:28" x14ac:dyDescent="0.25">
      <c r="A447" s="96"/>
      <c r="B447" s="96"/>
      <c r="C447" s="96"/>
      <c r="D447" s="7"/>
      <c r="E447" s="7"/>
      <c r="F447" s="7"/>
      <c r="G447" s="7"/>
      <c r="H447" s="7"/>
      <c r="I447" s="7"/>
      <c r="J447" s="36"/>
      <c r="K447" s="36"/>
      <c r="L447" s="7"/>
      <c r="M447" s="7"/>
      <c r="N447" s="7"/>
      <c r="O447" s="7"/>
      <c r="P447" s="7"/>
      <c r="S447" s="33"/>
      <c r="T447" s="7"/>
      <c r="U447" s="7"/>
      <c r="V447" s="7"/>
      <c r="W447" s="7"/>
      <c r="X447" s="7"/>
    </row>
    <row r="448" spans="1:28" s="33" customFormat="1" ht="16.5" thickBot="1" x14ac:dyDescent="0.3">
      <c r="A448" s="22" t="s">
        <v>2750</v>
      </c>
      <c r="B448" s="57"/>
      <c r="C448" s="57"/>
      <c r="D448" s="57"/>
      <c r="E448" s="57"/>
      <c r="F448" s="57"/>
      <c r="G448" s="57"/>
      <c r="H448" s="57"/>
      <c r="I448" s="73"/>
      <c r="J448" s="58"/>
      <c r="K448" s="58"/>
      <c r="L448" s="59"/>
      <c r="M448" s="57"/>
      <c r="N448" s="57"/>
      <c r="O448" s="57"/>
      <c r="P448" s="86">
        <f>+P378+P446</f>
        <v>19854836.517990001</v>
      </c>
      <c r="Q448" s="28"/>
      <c r="R448" s="28"/>
      <c r="S448" s="28"/>
      <c r="T448" s="86">
        <f>+T378+T446</f>
        <v>193972.26153888891</v>
      </c>
      <c r="U448" s="86">
        <v>17982909.066406667</v>
      </c>
      <c r="V448" s="86">
        <f>+V378+V446</f>
        <v>18176881.327945553</v>
      </c>
      <c r="W448" s="86">
        <f>+W378+W446</f>
        <v>193972.261538889</v>
      </c>
      <c r="X448" s="86">
        <f>+X378+X446</f>
        <v>2687024.2089333334</v>
      </c>
    </row>
    <row r="449" spans="1:24" ht="16.5" thickTop="1" x14ac:dyDescent="0.25">
      <c r="A449" s="96"/>
      <c r="B449" s="96"/>
      <c r="C449" s="96"/>
      <c r="D449" s="7"/>
      <c r="E449" s="7"/>
      <c r="F449" s="7"/>
      <c r="G449" s="7"/>
      <c r="H449" s="7"/>
      <c r="I449" s="7"/>
      <c r="J449" s="36"/>
      <c r="K449" s="36"/>
      <c r="L449" s="7"/>
      <c r="M449" s="7"/>
      <c r="N449" s="7"/>
      <c r="O449" s="7"/>
      <c r="P449" s="7"/>
      <c r="S449" s="33"/>
      <c r="T449" s="7"/>
      <c r="U449" s="7"/>
      <c r="V449" s="7"/>
      <c r="W449" s="7"/>
      <c r="X449" s="7"/>
    </row>
    <row r="450" spans="1:24" x14ac:dyDescent="0.25">
      <c r="A450" s="96"/>
      <c r="B450" s="96"/>
      <c r="C450" s="96"/>
      <c r="D450" s="7"/>
      <c r="E450" s="7"/>
      <c r="F450" s="7"/>
      <c r="G450" s="7"/>
      <c r="H450" s="7"/>
      <c r="I450" s="7"/>
      <c r="J450" s="36"/>
      <c r="K450" s="36"/>
      <c r="L450" s="7"/>
      <c r="M450" s="7"/>
      <c r="N450" s="7"/>
      <c r="O450" s="7"/>
      <c r="P450" s="541"/>
      <c r="S450" s="33"/>
      <c r="T450" s="7"/>
      <c r="U450" s="7"/>
      <c r="V450" s="7"/>
      <c r="W450" s="7"/>
      <c r="X450" s="7"/>
    </row>
    <row r="451" spans="1:24" x14ac:dyDescent="0.25">
      <c r="A451" s="96"/>
      <c r="B451" s="96"/>
      <c r="C451" s="96"/>
      <c r="D451" s="7"/>
      <c r="E451" s="7"/>
      <c r="F451" s="7"/>
      <c r="G451" s="7"/>
      <c r="H451" s="7"/>
      <c r="I451" s="7"/>
      <c r="J451" s="36"/>
      <c r="K451" s="36"/>
      <c r="L451" s="7"/>
      <c r="M451" s="7"/>
      <c r="N451" s="7"/>
      <c r="O451" s="7"/>
      <c r="P451" s="541"/>
      <c r="S451" s="33"/>
      <c r="T451" s="447"/>
      <c r="U451" s="7"/>
      <c r="V451" s="7"/>
      <c r="W451" s="7"/>
      <c r="X451" s="7"/>
    </row>
    <row r="452" spans="1:24" x14ac:dyDescent="0.25">
      <c r="A452" s="96"/>
      <c r="B452" s="96"/>
      <c r="C452" s="96"/>
      <c r="D452" s="7"/>
      <c r="E452" s="7"/>
      <c r="F452" s="7"/>
      <c r="G452" s="7"/>
      <c r="H452" s="7"/>
      <c r="I452" s="7"/>
      <c r="J452" s="36"/>
      <c r="K452" s="36"/>
      <c r="L452" s="7"/>
      <c r="M452" s="7"/>
      <c r="N452" s="7"/>
      <c r="O452" s="7"/>
      <c r="P452" s="541"/>
      <c r="S452" s="33"/>
      <c r="T452" s="7"/>
      <c r="U452" s="7"/>
      <c r="V452" s="7"/>
      <c r="W452" s="7"/>
      <c r="X452" s="7"/>
    </row>
    <row r="453" spans="1:24" x14ac:dyDescent="0.25">
      <c r="A453" s="96"/>
      <c r="B453" s="96"/>
      <c r="C453" s="96"/>
      <c r="D453" s="7"/>
      <c r="E453" s="7"/>
      <c r="F453" s="7"/>
      <c r="G453" s="7"/>
      <c r="H453" s="7"/>
      <c r="I453" s="7"/>
      <c r="J453" s="36"/>
      <c r="K453" s="36"/>
      <c r="L453" s="7"/>
      <c r="M453" s="7"/>
      <c r="N453" s="7"/>
      <c r="O453" s="7"/>
      <c r="P453" s="541"/>
      <c r="S453" s="33"/>
      <c r="T453" s="7"/>
      <c r="U453" s="7"/>
      <c r="V453" s="7"/>
      <c r="W453" s="7"/>
      <c r="X453" s="7"/>
    </row>
    <row r="454" spans="1:24" x14ac:dyDescent="0.25">
      <c r="A454" s="96"/>
      <c r="B454" s="96"/>
      <c r="C454" s="96"/>
      <c r="D454" s="7"/>
      <c r="E454" s="7"/>
      <c r="F454" s="7"/>
      <c r="G454" s="7"/>
      <c r="H454" s="7"/>
      <c r="I454" s="7"/>
      <c r="J454" s="36"/>
      <c r="K454" s="36"/>
      <c r="L454" s="7"/>
      <c r="M454" s="7"/>
      <c r="N454" s="7"/>
      <c r="O454" s="7"/>
      <c r="P454" s="541"/>
      <c r="S454" s="33"/>
      <c r="T454" s="7"/>
      <c r="U454" s="7"/>
      <c r="V454" s="7"/>
      <c r="W454" s="7"/>
      <c r="X454" s="7"/>
    </row>
    <row r="455" spans="1:24" x14ac:dyDescent="0.25">
      <c r="A455" s="96"/>
      <c r="B455" s="96"/>
      <c r="C455" s="96"/>
      <c r="D455" s="7"/>
      <c r="E455" s="7"/>
      <c r="F455" s="7"/>
      <c r="G455" s="7"/>
      <c r="H455" s="7"/>
      <c r="I455" s="7"/>
      <c r="J455" s="36"/>
      <c r="K455" s="36"/>
      <c r="L455" s="7"/>
      <c r="M455" s="7"/>
      <c r="N455" s="7"/>
      <c r="O455" s="7"/>
      <c r="P455" s="541"/>
      <c r="S455" s="33"/>
      <c r="T455" s="7"/>
      <c r="U455" s="7"/>
      <c r="V455" s="7"/>
      <c r="W455" s="7"/>
      <c r="X455" s="7"/>
    </row>
    <row r="456" spans="1:24" x14ac:dyDescent="0.25">
      <c r="A456" s="96"/>
      <c r="B456" s="96"/>
      <c r="C456" s="96"/>
      <c r="D456" s="7"/>
      <c r="E456" s="7"/>
      <c r="F456" s="7"/>
      <c r="G456" s="7"/>
      <c r="H456" s="7"/>
      <c r="I456" s="7"/>
      <c r="J456" s="36"/>
      <c r="K456" s="36"/>
      <c r="L456" s="7"/>
      <c r="M456" s="7"/>
      <c r="N456" s="7"/>
      <c r="O456" s="7"/>
      <c r="P456" s="541"/>
      <c r="S456" s="33"/>
      <c r="T456" s="7"/>
      <c r="U456" s="7"/>
      <c r="V456" s="7"/>
      <c r="W456" s="7"/>
      <c r="X456" s="7"/>
    </row>
    <row r="457" spans="1:24" x14ac:dyDescent="0.25">
      <c r="A457" s="96"/>
      <c r="B457" s="96"/>
      <c r="C457" s="96"/>
      <c r="D457" s="7"/>
      <c r="E457" s="7"/>
      <c r="F457" s="7"/>
      <c r="G457" s="7"/>
      <c r="H457" s="7"/>
      <c r="I457" s="7"/>
      <c r="J457" s="36"/>
      <c r="K457" s="36"/>
      <c r="L457" s="7"/>
      <c r="M457" s="7"/>
      <c r="N457" s="7"/>
      <c r="O457" s="7"/>
      <c r="P457" s="7"/>
      <c r="S457" s="33"/>
      <c r="T457" s="7"/>
      <c r="U457" s="7"/>
      <c r="V457" s="7"/>
      <c r="W457" s="7"/>
      <c r="X457" s="7"/>
    </row>
    <row r="458" spans="1:24" x14ac:dyDescent="0.25">
      <c r="A458" s="96"/>
      <c r="B458" s="96"/>
      <c r="C458" s="96"/>
      <c r="D458" s="7"/>
      <c r="E458" s="7"/>
      <c r="F458" s="7"/>
      <c r="G458" s="7"/>
      <c r="H458" s="7"/>
      <c r="I458" s="7"/>
      <c r="J458" s="36"/>
      <c r="K458" s="36"/>
      <c r="L458" s="7"/>
      <c r="M458" s="7"/>
      <c r="N458" s="7"/>
      <c r="O458" s="7"/>
      <c r="P458" s="622"/>
      <c r="S458" s="33"/>
      <c r="T458" s="7"/>
      <c r="U458" s="7"/>
      <c r="V458" s="7"/>
      <c r="W458" s="7"/>
      <c r="X458" s="7"/>
    </row>
    <row r="459" spans="1:24" x14ac:dyDescent="0.25">
      <c r="A459" s="96"/>
      <c r="B459" s="96"/>
      <c r="C459" s="96"/>
      <c r="D459" s="7"/>
      <c r="E459" s="7"/>
      <c r="F459" s="7"/>
      <c r="G459" s="7"/>
      <c r="H459" s="7"/>
      <c r="I459" s="7"/>
      <c r="J459" s="36"/>
      <c r="K459" s="36"/>
      <c r="L459" s="7"/>
      <c r="M459" s="7"/>
      <c r="N459" s="7"/>
      <c r="O459" s="7"/>
      <c r="P459" s="622"/>
      <c r="S459" s="33"/>
      <c r="T459" s="7"/>
      <c r="U459" s="7"/>
      <c r="V459" s="7"/>
      <c r="W459" s="7"/>
      <c r="X459" s="7"/>
    </row>
    <row r="460" spans="1:24" x14ac:dyDescent="0.25">
      <c r="A460" s="96"/>
      <c r="B460" s="96"/>
      <c r="C460" s="96"/>
      <c r="D460" s="7"/>
      <c r="E460" s="7"/>
      <c r="F460" s="7"/>
      <c r="G460" s="7"/>
      <c r="H460" s="7"/>
      <c r="I460" s="7"/>
      <c r="J460" s="36"/>
      <c r="K460" s="36"/>
      <c r="L460" s="7"/>
      <c r="M460" s="7"/>
      <c r="N460" s="7"/>
      <c r="O460" s="7"/>
      <c r="P460" s="7"/>
      <c r="S460" s="33"/>
      <c r="T460" s="7"/>
      <c r="U460" s="7"/>
      <c r="V460" s="7"/>
      <c r="W460" s="7"/>
      <c r="X460" s="7"/>
    </row>
    <row r="461" spans="1:24" x14ac:dyDescent="0.25">
      <c r="A461" s="96"/>
      <c r="B461" s="96"/>
      <c r="C461" s="96"/>
      <c r="D461" s="7"/>
      <c r="E461" s="7"/>
      <c r="F461" s="7"/>
      <c r="G461" s="7"/>
      <c r="H461" s="7"/>
      <c r="I461" s="7"/>
      <c r="J461" s="36"/>
      <c r="K461" s="36"/>
      <c r="L461" s="7"/>
      <c r="M461" s="7"/>
      <c r="N461" s="7"/>
      <c r="O461" s="7"/>
      <c r="P461" s="7"/>
      <c r="S461" s="33"/>
      <c r="T461" s="7"/>
      <c r="U461" s="7"/>
      <c r="V461" s="7"/>
      <c r="W461" s="7"/>
      <c r="X461" s="7"/>
    </row>
    <row r="462" spans="1:24" x14ac:dyDescent="0.25">
      <c r="A462" s="96"/>
      <c r="B462" s="96"/>
      <c r="C462" s="96"/>
      <c r="D462" s="7"/>
      <c r="E462" s="7"/>
      <c r="F462" s="7"/>
      <c r="G462" s="7"/>
      <c r="H462" s="7"/>
      <c r="I462" s="7"/>
      <c r="J462" s="36"/>
      <c r="K462" s="36"/>
      <c r="L462" s="7"/>
      <c r="M462" s="7"/>
      <c r="N462" s="7"/>
      <c r="O462" s="7"/>
      <c r="P462" s="7"/>
      <c r="S462" s="33"/>
      <c r="T462" s="7"/>
      <c r="U462" s="7"/>
      <c r="V462" s="7"/>
      <c r="W462" s="7"/>
      <c r="X462" s="7"/>
    </row>
    <row r="463" spans="1:24" x14ac:dyDescent="0.25">
      <c r="A463" s="96"/>
      <c r="B463" s="96"/>
      <c r="C463" s="96"/>
      <c r="D463" s="7"/>
      <c r="E463" s="7"/>
      <c r="F463" s="7"/>
      <c r="G463" s="7"/>
      <c r="H463" s="7"/>
      <c r="I463" s="7"/>
      <c r="J463" s="36"/>
      <c r="K463" s="36"/>
      <c r="L463" s="7"/>
      <c r="M463" s="7"/>
      <c r="N463" s="7"/>
      <c r="O463" s="7"/>
      <c r="P463" s="7"/>
      <c r="S463" s="33"/>
      <c r="T463" s="7"/>
      <c r="U463" s="7"/>
      <c r="V463" s="7"/>
      <c r="W463" s="7"/>
      <c r="X463" s="7"/>
    </row>
    <row r="464" spans="1:24" x14ac:dyDescent="0.25">
      <c r="A464" s="96"/>
      <c r="B464" s="96"/>
      <c r="C464" s="96"/>
      <c r="D464" s="7"/>
      <c r="E464" s="7"/>
      <c r="F464" s="7"/>
      <c r="G464" s="7"/>
      <c r="H464" s="7"/>
      <c r="I464" s="7"/>
      <c r="J464" s="36"/>
      <c r="K464" s="36"/>
      <c r="L464" s="7"/>
      <c r="M464" s="7"/>
      <c r="N464" s="7"/>
      <c r="O464" s="7"/>
      <c r="P464" s="7"/>
      <c r="S464" s="33"/>
      <c r="T464" s="7"/>
      <c r="U464" s="7"/>
      <c r="V464" s="7"/>
      <c r="W464" s="7"/>
      <c r="X464" s="7"/>
    </row>
    <row r="465" spans="1:24" x14ac:dyDescent="0.25">
      <c r="A465" s="96"/>
      <c r="B465" s="96"/>
      <c r="C465" s="96"/>
      <c r="D465" s="7"/>
      <c r="E465" s="7"/>
      <c r="F465" s="7"/>
      <c r="G465" s="7"/>
      <c r="H465" s="7"/>
      <c r="I465" s="7"/>
      <c r="J465" s="36"/>
      <c r="K465" s="36"/>
      <c r="L465" s="7"/>
      <c r="M465" s="7"/>
      <c r="N465" s="7"/>
      <c r="O465" s="7"/>
      <c r="P465" s="7"/>
      <c r="S465" s="33"/>
      <c r="T465" s="7"/>
      <c r="U465" s="7"/>
      <c r="V465" s="7"/>
      <c r="W465" s="7"/>
      <c r="X465" s="7"/>
    </row>
    <row r="466" spans="1:24" x14ac:dyDescent="0.25">
      <c r="A466" s="96"/>
      <c r="B466" s="96"/>
      <c r="C466" s="96"/>
      <c r="D466" s="7"/>
      <c r="E466" s="7"/>
      <c r="F466" s="7"/>
      <c r="G466" s="7"/>
      <c r="H466" s="7"/>
      <c r="I466" s="7"/>
      <c r="J466" s="36"/>
      <c r="K466" s="36"/>
      <c r="L466" s="7"/>
      <c r="M466" s="7"/>
      <c r="N466" s="7"/>
      <c r="O466" s="7"/>
      <c r="P466" s="7"/>
      <c r="S466" s="33"/>
      <c r="T466" s="7"/>
      <c r="U466" s="7"/>
      <c r="V466" s="7"/>
      <c r="W466" s="7"/>
      <c r="X466" s="7"/>
    </row>
    <row r="467" spans="1:24" x14ac:dyDescent="0.25">
      <c r="A467" s="96"/>
      <c r="B467" s="96"/>
      <c r="C467" s="96"/>
      <c r="D467" s="7"/>
      <c r="E467" s="7"/>
      <c r="F467" s="7"/>
      <c r="G467" s="7"/>
      <c r="H467" s="7"/>
      <c r="I467" s="7"/>
      <c r="J467" s="36"/>
      <c r="K467" s="36"/>
      <c r="L467" s="7"/>
      <c r="M467" s="7"/>
      <c r="N467" s="7"/>
      <c r="O467" s="7"/>
      <c r="P467" s="7"/>
      <c r="S467" s="33"/>
      <c r="T467" s="7"/>
      <c r="U467" s="7"/>
      <c r="V467" s="7"/>
      <c r="W467" s="7"/>
      <c r="X467" s="7"/>
    </row>
    <row r="468" spans="1:24" x14ac:dyDescent="0.25">
      <c r="A468" s="96"/>
      <c r="B468" s="96"/>
      <c r="C468" s="96"/>
      <c r="D468" s="7"/>
      <c r="E468" s="7"/>
      <c r="F468" s="7"/>
      <c r="G468" s="7"/>
      <c r="H468" s="7"/>
      <c r="I468" s="7"/>
      <c r="J468" s="36"/>
      <c r="K468" s="36"/>
      <c r="L468" s="7"/>
      <c r="M468" s="7"/>
      <c r="N468" s="7"/>
      <c r="O468" s="7"/>
      <c r="P468" s="7"/>
      <c r="S468" s="33"/>
      <c r="T468" s="7"/>
      <c r="U468" s="7"/>
      <c r="V468" s="7"/>
      <c r="W468" s="7"/>
      <c r="X468" s="7"/>
    </row>
    <row r="469" spans="1:24" x14ac:dyDescent="0.25">
      <c r="A469" s="96"/>
      <c r="B469" s="96"/>
      <c r="C469" s="96"/>
      <c r="D469" s="7"/>
      <c r="E469" s="7"/>
      <c r="F469" s="7"/>
      <c r="G469" s="7"/>
      <c r="H469" s="7"/>
      <c r="I469" s="7"/>
      <c r="J469" s="36"/>
      <c r="K469" s="36"/>
      <c r="L469" s="7"/>
      <c r="M469" s="7"/>
      <c r="N469" s="7"/>
      <c r="O469" s="7"/>
      <c r="P469" s="7"/>
      <c r="S469" s="33"/>
      <c r="T469" s="7"/>
      <c r="U469" s="7"/>
      <c r="V469" s="7"/>
      <c r="W469" s="7"/>
      <c r="X469" s="7"/>
    </row>
    <row r="470" spans="1:24" x14ac:dyDescent="0.25">
      <c r="A470" s="96"/>
      <c r="B470" s="96"/>
      <c r="C470" s="96"/>
      <c r="D470" s="7"/>
      <c r="E470" s="7"/>
      <c r="F470" s="7"/>
      <c r="G470" s="7"/>
      <c r="H470" s="7"/>
      <c r="I470" s="7"/>
      <c r="J470" s="36"/>
      <c r="K470" s="36"/>
      <c r="L470" s="7"/>
      <c r="M470" s="7"/>
      <c r="N470" s="7"/>
      <c r="O470" s="7"/>
      <c r="P470" s="7"/>
      <c r="S470" s="33"/>
      <c r="T470" s="7"/>
      <c r="U470" s="7"/>
      <c r="V470" s="7"/>
      <c r="W470" s="7"/>
      <c r="X470" s="7"/>
    </row>
    <row r="471" spans="1:24" x14ac:dyDescent="0.25">
      <c r="A471" s="96"/>
      <c r="B471" s="96"/>
      <c r="C471" s="96"/>
      <c r="D471" s="7"/>
      <c r="E471" s="7"/>
      <c r="F471" s="7"/>
      <c r="G471" s="7"/>
      <c r="H471" s="7"/>
      <c r="I471" s="7"/>
      <c r="J471" s="36"/>
      <c r="K471" s="36"/>
      <c r="L471" s="7"/>
      <c r="M471" s="7"/>
      <c r="N471" s="7"/>
      <c r="O471" s="7"/>
      <c r="P471" s="7"/>
      <c r="S471" s="33"/>
      <c r="T471" s="7"/>
      <c r="U471" s="7"/>
      <c r="V471" s="7"/>
      <c r="W471" s="7"/>
      <c r="X471" s="7"/>
    </row>
    <row r="472" spans="1:24" x14ac:dyDescent="0.25">
      <c r="A472" s="96"/>
      <c r="B472" s="96"/>
      <c r="C472" s="96"/>
      <c r="D472" s="7"/>
      <c r="E472" s="7"/>
      <c r="F472" s="7"/>
      <c r="G472" s="7"/>
      <c r="H472" s="7"/>
      <c r="I472" s="7"/>
      <c r="J472" s="36"/>
      <c r="K472" s="36"/>
      <c r="L472" s="7"/>
      <c r="M472" s="7"/>
      <c r="N472" s="7"/>
      <c r="O472" s="7"/>
      <c r="P472" s="7"/>
      <c r="S472" s="33"/>
      <c r="T472" s="7"/>
      <c r="U472" s="7"/>
      <c r="V472" s="7"/>
      <c r="W472" s="7"/>
      <c r="X472" s="7"/>
    </row>
    <row r="473" spans="1:24" x14ac:dyDescent="0.25">
      <c r="A473" s="96"/>
      <c r="B473" s="96"/>
      <c r="C473" s="96"/>
      <c r="D473" s="7"/>
      <c r="E473" s="7"/>
      <c r="F473" s="7"/>
      <c r="G473" s="7"/>
      <c r="H473" s="7"/>
      <c r="I473" s="7"/>
      <c r="J473" s="36"/>
      <c r="K473" s="36"/>
      <c r="L473" s="7"/>
      <c r="M473" s="7"/>
      <c r="N473" s="7"/>
      <c r="O473" s="7"/>
      <c r="P473" s="7"/>
      <c r="S473" s="33"/>
      <c r="T473" s="7"/>
      <c r="U473" s="7"/>
      <c r="V473" s="7"/>
      <c r="W473" s="7"/>
      <c r="X473" s="7"/>
    </row>
    <row r="474" spans="1:24" x14ac:dyDescent="0.25">
      <c r="A474" s="96"/>
      <c r="B474" s="96"/>
      <c r="C474" s="96"/>
      <c r="D474" s="7"/>
      <c r="E474" s="7"/>
      <c r="F474" s="7"/>
      <c r="G474" s="7"/>
      <c r="H474" s="7"/>
      <c r="I474" s="7"/>
      <c r="J474" s="36"/>
      <c r="K474" s="36"/>
      <c r="L474" s="7"/>
      <c r="M474" s="7"/>
      <c r="N474" s="7"/>
      <c r="O474" s="7"/>
      <c r="P474" s="7"/>
      <c r="S474" s="33"/>
      <c r="T474" s="7"/>
      <c r="U474" s="7"/>
      <c r="V474" s="7"/>
      <c r="W474" s="7"/>
      <c r="X474" s="7"/>
    </row>
    <row r="475" spans="1:24" x14ac:dyDescent="0.25">
      <c r="A475" s="96"/>
      <c r="B475" s="96"/>
      <c r="C475" s="96"/>
      <c r="D475" s="7"/>
      <c r="E475" s="7"/>
      <c r="F475" s="7"/>
      <c r="G475" s="7"/>
      <c r="H475" s="7"/>
      <c r="I475" s="7"/>
      <c r="J475" s="36"/>
      <c r="K475" s="36"/>
      <c r="L475" s="7"/>
      <c r="M475" s="7"/>
      <c r="N475" s="7"/>
      <c r="O475" s="7"/>
      <c r="P475" s="7"/>
      <c r="S475" s="33"/>
      <c r="T475" s="7"/>
      <c r="U475" s="7"/>
      <c r="V475" s="7"/>
      <c r="W475" s="7"/>
      <c r="X475" s="7"/>
    </row>
    <row r="476" spans="1:24" x14ac:dyDescent="0.25">
      <c r="A476" s="96"/>
      <c r="B476" s="96"/>
      <c r="C476" s="96"/>
      <c r="D476" s="7"/>
      <c r="E476" s="7"/>
      <c r="F476" s="7"/>
      <c r="G476" s="7"/>
      <c r="H476" s="7"/>
      <c r="I476" s="7"/>
      <c r="J476" s="36"/>
      <c r="K476" s="36"/>
      <c r="L476" s="7"/>
      <c r="M476" s="7"/>
      <c r="N476" s="7"/>
      <c r="O476" s="7"/>
      <c r="P476" s="7"/>
      <c r="S476" s="33"/>
      <c r="T476" s="7"/>
      <c r="U476" s="7"/>
      <c r="V476" s="7"/>
      <c r="W476" s="7"/>
      <c r="X476" s="7"/>
    </row>
    <row r="477" spans="1:24" x14ac:dyDescent="0.25">
      <c r="A477" s="96"/>
      <c r="B477" s="96"/>
      <c r="C477" s="96"/>
      <c r="D477" s="7"/>
      <c r="E477" s="7"/>
      <c r="F477" s="7"/>
      <c r="G477" s="7"/>
      <c r="H477" s="7"/>
      <c r="I477" s="7"/>
      <c r="J477" s="36"/>
      <c r="K477" s="36"/>
      <c r="L477" s="7"/>
      <c r="M477" s="7"/>
      <c r="N477" s="7"/>
      <c r="O477" s="7"/>
      <c r="P477" s="7"/>
      <c r="S477" s="33"/>
      <c r="T477" s="7"/>
      <c r="U477" s="7"/>
      <c r="V477" s="7"/>
      <c r="W477" s="7"/>
      <c r="X477" s="7"/>
    </row>
    <row r="478" spans="1:24" x14ac:dyDescent="0.25">
      <c r="A478" s="96"/>
      <c r="B478" s="96"/>
      <c r="C478" s="96"/>
      <c r="D478" s="7"/>
      <c r="E478" s="7"/>
      <c r="F478" s="7"/>
      <c r="G478" s="7"/>
      <c r="H478" s="7"/>
      <c r="I478" s="7"/>
      <c r="J478" s="36"/>
      <c r="K478" s="36"/>
      <c r="L478" s="7"/>
      <c r="M478" s="7"/>
      <c r="N478" s="7"/>
      <c r="O478" s="7"/>
      <c r="P478" s="7"/>
      <c r="S478" s="33"/>
      <c r="T478" s="7"/>
      <c r="U478" s="7"/>
      <c r="V478" s="7"/>
      <c r="W478" s="7"/>
      <c r="X478" s="7"/>
    </row>
    <row r="479" spans="1:24" x14ac:dyDescent="0.25">
      <c r="A479" s="96"/>
      <c r="B479" s="96"/>
      <c r="C479" s="96"/>
      <c r="D479" s="7"/>
      <c r="E479" s="7"/>
      <c r="F479" s="7"/>
      <c r="G479" s="7"/>
      <c r="H479" s="7"/>
      <c r="I479" s="7"/>
      <c r="J479" s="36"/>
      <c r="K479" s="36"/>
      <c r="L479" s="7"/>
      <c r="M479" s="7"/>
      <c r="N479" s="7"/>
      <c r="O479" s="7"/>
      <c r="P479" s="7"/>
      <c r="S479" s="33"/>
      <c r="T479" s="7"/>
      <c r="U479" s="7"/>
      <c r="V479" s="7"/>
      <c r="W479" s="7"/>
      <c r="X479" s="7"/>
    </row>
    <row r="480" spans="1:24" x14ac:dyDescent="0.25">
      <c r="A480" s="96"/>
      <c r="B480" s="96"/>
      <c r="C480" s="96"/>
      <c r="D480" s="7"/>
      <c r="E480" s="7"/>
      <c r="F480" s="7"/>
      <c r="G480" s="7"/>
      <c r="H480" s="7"/>
      <c r="I480" s="7"/>
      <c r="J480" s="36"/>
      <c r="K480" s="36"/>
      <c r="L480" s="7"/>
      <c r="M480" s="7"/>
      <c r="N480" s="7"/>
      <c r="O480" s="7"/>
      <c r="P480" s="7"/>
      <c r="S480" s="33"/>
      <c r="T480" s="7"/>
      <c r="U480" s="7"/>
      <c r="V480" s="7"/>
      <c r="W480" s="7"/>
      <c r="X480" s="7"/>
    </row>
    <row r="481" spans="1:24" x14ac:dyDescent="0.25">
      <c r="A481" s="96"/>
      <c r="B481" s="96"/>
      <c r="C481" s="96"/>
      <c r="D481" s="7"/>
      <c r="E481" s="7"/>
      <c r="F481" s="7"/>
      <c r="G481" s="7"/>
      <c r="H481" s="7"/>
      <c r="I481" s="7"/>
      <c r="J481" s="36"/>
      <c r="K481" s="36"/>
      <c r="L481" s="7"/>
      <c r="M481" s="7"/>
      <c r="N481" s="7"/>
      <c r="O481" s="7"/>
      <c r="P481" s="7"/>
      <c r="S481" s="33"/>
      <c r="T481" s="7"/>
      <c r="U481" s="7"/>
      <c r="V481" s="7"/>
      <c r="W481" s="7"/>
      <c r="X481" s="7"/>
    </row>
    <row r="482" spans="1:24" x14ac:dyDescent="0.25">
      <c r="A482" s="96"/>
      <c r="B482" s="96"/>
      <c r="C482" s="96"/>
      <c r="D482" s="7"/>
      <c r="E482" s="7"/>
      <c r="F482" s="7"/>
      <c r="G482" s="7"/>
      <c r="H482" s="7"/>
      <c r="I482" s="7"/>
      <c r="J482" s="36"/>
      <c r="K482" s="36"/>
      <c r="L482" s="7"/>
      <c r="M482" s="7"/>
      <c r="N482" s="7"/>
      <c r="O482" s="7"/>
      <c r="P482" s="7"/>
      <c r="S482" s="33"/>
      <c r="T482" s="7"/>
      <c r="U482" s="7"/>
      <c r="V482" s="7"/>
      <c r="W482" s="7"/>
      <c r="X482" s="7"/>
    </row>
    <row r="483" spans="1:24" x14ac:dyDescent="0.25">
      <c r="A483" s="96"/>
      <c r="B483" s="96"/>
      <c r="C483" s="96"/>
      <c r="D483" s="7"/>
      <c r="E483" s="7"/>
      <c r="F483" s="7"/>
      <c r="G483" s="7"/>
      <c r="H483" s="7"/>
      <c r="I483" s="7"/>
      <c r="J483" s="36"/>
      <c r="K483" s="36"/>
      <c r="L483" s="7"/>
      <c r="M483" s="7"/>
      <c r="N483" s="7"/>
      <c r="O483" s="7"/>
      <c r="P483" s="7"/>
      <c r="S483" s="33"/>
      <c r="T483" s="7"/>
      <c r="U483" s="7"/>
      <c r="V483" s="7"/>
      <c r="W483" s="7"/>
      <c r="X483" s="7"/>
    </row>
    <row r="484" spans="1:24" x14ac:dyDescent="0.25">
      <c r="A484" s="96"/>
      <c r="B484" s="96"/>
      <c r="C484" s="96"/>
      <c r="D484" s="7"/>
      <c r="E484" s="7"/>
      <c r="F484" s="7"/>
      <c r="G484" s="7"/>
      <c r="H484" s="7"/>
      <c r="I484" s="7"/>
      <c r="J484" s="36"/>
      <c r="K484" s="36"/>
      <c r="L484" s="7"/>
      <c r="M484" s="7"/>
      <c r="N484" s="7"/>
      <c r="O484" s="7"/>
      <c r="P484" s="7"/>
      <c r="S484" s="33"/>
      <c r="T484" s="7"/>
      <c r="U484" s="7"/>
      <c r="V484" s="7"/>
      <c r="W484" s="7"/>
      <c r="X484" s="7"/>
    </row>
    <row r="485" spans="1:24" x14ac:dyDescent="0.25">
      <c r="A485" s="96"/>
      <c r="B485" s="96"/>
      <c r="C485" s="96"/>
      <c r="D485" s="7"/>
      <c r="E485" s="7"/>
      <c r="F485" s="7"/>
      <c r="G485" s="7"/>
      <c r="H485" s="7"/>
      <c r="I485" s="7"/>
      <c r="J485" s="36"/>
      <c r="K485" s="36"/>
      <c r="L485" s="7"/>
      <c r="M485" s="7"/>
      <c r="N485" s="7"/>
      <c r="O485" s="7"/>
      <c r="P485" s="7"/>
      <c r="S485" s="33"/>
      <c r="T485" s="7"/>
      <c r="U485" s="7"/>
      <c r="V485" s="7"/>
      <c r="W485" s="7"/>
      <c r="X485" s="7"/>
    </row>
    <row r="486" spans="1:24" x14ac:dyDescent="0.25">
      <c r="A486" s="96"/>
      <c r="B486" s="96"/>
      <c r="C486" s="96"/>
      <c r="D486" s="7"/>
      <c r="E486" s="7"/>
      <c r="F486" s="7"/>
      <c r="G486" s="7"/>
      <c r="H486" s="7"/>
      <c r="I486" s="7"/>
      <c r="J486" s="36"/>
      <c r="K486" s="36"/>
      <c r="L486" s="7"/>
      <c r="M486" s="7"/>
      <c r="N486" s="7"/>
      <c r="O486" s="7"/>
      <c r="P486" s="7"/>
      <c r="S486" s="33"/>
      <c r="T486" s="7"/>
      <c r="U486" s="7"/>
      <c r="V486" s="7"/>
      <c r="W486" s="7"/>
      <c r="X486" s="7"/>
    </row>
    <row r="487" spans="1:24" x14ac:dyDescent="0.25">
      <c r="A487" s="96"/>
      <c r="B487" s="96"/>
      <c r="C487" s="96"/>
      <c r="D487" s="7"/>
      <c r="E487" s="7"/>
      <c r="F487" s="7"/>
      <c r="G487" s="7"/>
      <c r="H487" s="7"/>
      <c r="I487" s="7"/>
      <c r="J487" s="36"/>
      <c r="K487" s="36"/>
      <c r="L487" s="7"/>
      <c r="M487" s="7"/>
      <c r="N487" s="7"/>
      <c r="O487" s="7"/>
      <c r="P487" s="7"/>
      <c r="S487" s="33"/>
      <c r="T487" s="7"/>
      <c r="U487" s="7"/>
      <c r="V487" s="7"/>
      <c r="W487" s="7"/>
      <c r="X487" s="7"/>
    </row>
    <row r="488" spans="1:24" x14ac:dyDescent="0.25">
      <c r="A488" s="96"/>
      <c r="B488" s="96"/>
      <c r="C488" s="96"/>
      <c r="D488" s="7"/>
      <c r="E488" s="7"/>
      <c r="F488" s="7"/>
      <c r="G488" s="7"/>
      <c r="H488" s="7"/>
      <c r="I488" s="7"/>
      <c r="J488" s="36"/>
      <c r="K488" s="36"/>
      <c r="L488" s="7"/>
      <c r="M488" s="7"/>
      <c r="N488" s="7"/>
      <c r="O488" s="7"/>
      <c r="P488" s="7"/>
      <c r="S488" s="33"/>
      <c r="T488" s="7"/>
      <c r="U488" s="7"/>
      <c r="V488" s="7"/>
      <c r="W488" s="7"/>
      <c r="X488" s="7"/>
    </row>
    <row r="489" spans="1:24" x14ac:dyDescent="0.25">
      <c r="A489" s="96"/>
      <c r="B489" s="96"/>
      <c r="C489" s="96"/>
      <c r="D489" s="7"/>
      <c r="E489" s="7"/>
      <c r="F489" s="7"/>
      <c r="G489" s="7"/>
      <c r="H489" s="7"/>
      <c r="I489" s="7"/>
      <c r="J489" s="36"/>
      <c r="K489" s="36"/>
      <c r="L489" s="7"/>
      <c r="M489" s="7"/>
      <c r="N489" s="7"/>
      <c r="O489" s="7"/>
      <c r="P489" s="7"/>
      <c r="S489" s="33"/>
      <c r="T489" s="7"/>
      <c r="U489" s="7"/>
      <c r="V489" s="7"/>
      <c r="W489" s="7"/>
      <c r="X489" s="7"/>
    </row>
    <row r="490" spans="1:24" x14ac:dyDescent="0.25">
      <c r="A490" s="96"/>
      <c r="B490" s="96"/>
      <c r="C490" s="96"/>
      <c r="D490" s="7"/>
      <c r="E490" s="7"/>
      <c r="F490" s="7"/>
      <c r="G490" s="7"/>
      <c r="H490" s="7"/>
      <c r="I490" s="7"/>
      <c r="J490" s="36"/>
      <c r="K490" s="36"/>
      <c r="L490" s="7"/>
      <c r="M490" s="7"/>
      <c r="N490" s="7"/>
      <c r="O490" s="7"/>
      <c r="P490" s="7"/>
      <c r="S490" s="33"/>
      <c r="T490" s="7"/>
      <c r="U490" s="7"/>
      <c r="V490" s="7"/>
      <c r="W490" s="7"/>
      <c r="X490" s="7"/>
    </row>
    <row r="491" spans="1:24" x14ac:dyDescent="0.25">
      <c r="A491" s="96"/>
      <c r="B491" s="96"/>
      <c r="C491" s="96"/>
      <c r="D491" s="7"/>
      <c r="E491" s="7"/>
      <c r="F491" s="7"/>
      <c r="G491" s="7"/>
      <c r="H491" s="7"/>
      <c r="I491" s="7"/>
      <c r="J491" s="36"/>
      <c r="K491" s="36"/>
      <c r="L491" s="7"/>
      <c r="M491" s="7"/>
      <c r="N491" s="7"/>
      <c r="O491" s="7"/>
      <c r="P491" s="7"/>
      <c r="S491" s="33"/>
      <c r="T491" s="7"/>
      <c r="U491" s="7"/>
      <c r="V491" s="7"/>
      <c r="W491" s="7"/>
      <c r="X491" s="7"/>
    </row>
    <row r="492" spans="1:24" x14ac:dyDescent="0.25">
      <c r="A492" s="96"/>
      <c r="B492" s="96"/>
      <c r="C492" s="96"/>
      <c r="D492" s="7"/>
      <c r="E492" s="7"/>
      <c r="F492" s="7"/>
      <c r="G492" s="7"/>
      <c r="H492" s="7"/>
      <c r="I492" s="7"/>
      <c r="J492" s="36"/>
      <c r="K492" s="36"/>
      <c r="L492" s="7"/>
      <c r="M492" s="7"/>
      <c r="N492" s="7"/>
      <c r="O492" s="7"/>
      <c r="P492" s="7"/>
      <c r="S492" s="33"/>
      <c r="T492" s="7"/>
      <c r="U492" s="7"/>
      <c r="V492" s="7"/>
      <c r="W492" s="7"/>
      <c r="X492" s="7"/>
    </row>
    <row r="493" spans="1:24" x14ac:dyDescent="0.25">
      <c r="A493" s="96"/>
      <c r="B493" s="96"/>
      <c r="C493" s="96"/>
      <c r="D493" s="7"/>
      <c r="E493" s="7"/>
      <c r="F493" s="7"/>
      <c r="G493" s="7"/>
      <c r="H493" s="7"/>
      <c r="I493" s="7"/>
      <c r="J493" s="36"/>
      <c r="K493" s="36"/>
      <c r="L493" s="7"/>
      <c r="M493" s="7"/>
      <c r="N493" s="7"/>
      <c r="O493" s="7"/>
      <c r="P493" s="7"/>
      <c r="S493" s="33"/>
      <c r="T493" s="7"/>
      <c r="U493" s="7"/>
      <c r="V493" s="7"/>
      <c r="W493" s="7"/>
      <c r="X493" s="7"/>
    </row>
    <row r="494" spans="1:24" x14ac:dyDescent="0.25">
      <c r="A494" s="96"/>
      <c r="B494" s="96"/>
      <c r="C494" s="96"/>
      <c r="D494" s="7"/>
      <c r="E494" s="7"/>
      <c r="F494" s="7"/>
      <c r="G494" s="7"/>
      <c r="H494" s="7"/>
      <c r="I494" s="7"/>
      <c r="J494" s="36"/>
      <c r="K494" s="36"/>
      <c r="L494" s="7"/>
      <c r="M494" s="7"/>
      <c r="N494" s="7"/>
      <c r="O494" s="7"/>
      <c r="P494" s="7"/>
      <c r="S494" s="33"/>
      <c r="T494" s="7"/>
      <c r="U494" s="7"/>
      <c r="V494" s="7"/>
      <c r="W494" s="7"/>
      <c r="X494" s="7"/>
    </row>
    <row r="495" spans="1:24" x14ac:dyDescent="0.25">
      <c r="A495" s="96"/>
      <c r="B495" s="96"/>
      <c r="C495" s="96"/>
      <c r="D495" s="7"/>
      <c r="E495" s="7"/>
      <c r="F495" s="7"/>
      <c r="G495" s="7"/>
      <c r="H495" s="7"/>
      <c r="I495" s="7"/>
      <c r="J495" s="36"/>
      <c r="K495" s="36"/>
      <c r="L495" s="7"/>
      <c r="M495" s="7"/>
      <c r="N495" s="7"/>
      <c r="O495" s="7"/>
      <c r="P495" s="7"/>
      <c r="S495" s="33"/>
      <c r="T495" s="7"/>
      <c r="U495" s="7"/>
      <c r="V495" s="7"/>
      <c r="W495" s="7"/>
      <c r="X495" s="7"/>
    </row>
    <row r="496" spans="1:24" x14ac:dyDescent="0.25">
      <c r="A496" s="96"/>
      <c r="B496" s="96"/>
      <c r="C496" s="96"/>
      <c r="J496" s="36"/>
      <c r="K496" s="36"/>
      <c r="L496" s="7"/>
      <c r="M496" s="7"/>
      <c r="N496" s="7"/>
      <c r="O496" s="7"/>
      <c r="P496" s="7"/>
      <c r="S496" s="33"/>
      <c r="T496" s="7"/>
      <c r="U496" s="7"/>
      <c r="V496" s="7"/>
      <c r="W496" s="7"/>
      <c r="X496" s="7"/>
    </row>
    <row r="497" spans="1:24" x14ac:dyDescent="0.25">
      <c r="A497" s="96"/>
      <c r="B497" s="96"/>
      <c r="C497" s="96"/>
      <c r="J497" s="36"/>
      <c r="K497" s="36"/>
      <c r="L497" s="7"/>
      <c r="M497" s="7"/>
      <c r="N497" s="7"/>
      <c r="O497" s="7"/>
      <c r="P497" s="7"/>
      <c r="S497" s="33"/>
      <c r="T497" s="7"/>
      <c r="U497" s="7"/>
      <c r="V497" s="7"/>
      <c r="W497" s="7"/>
      <c r="X497" s="7"/>
    </row>
    <row r="498" spans="1:24" x14ac:dyDescent="0.25">
      <c r="A498" s="96"/>
      <c r="B498" s="96"/>
      <c r="C498" s="96"/>
      <c r="J498" s="36"/>
      <c r="K498" s="36"/>
      <c r="L498" s="7"/>
      <c r="M498" s="7"/>
      <c r="N498" s="7"/>
      <c r="O498" s="7"/>
      <c r="P498" s="7"/>
      <c r="S498" s="33"/>
      <c r="T498" s="7"/>
      <c r="U498" s="7"/>
      <c r="V498" s="7"/>
      <c r="W498" s="7"/>
      <c r="X498" s="7"/>
    </row>
    <row r="499" spans="1:24" x14ac:dyDescent="0.25">
      <c r="A499" s="96"/>
      <c r="B499" s="96"/>
      <c r="C499" s="96"/>
      <c r="J499" s="36"/>
      <c r="K499" s="36"/>
      <c r="L499" s="7"/>
      <c r="M499" s="7"/>
      <c r="N499" s="7"/>
      <c r="O499" s="7"/>
      <c r="P499" s="7"/>
      <c r="S499" s="33"/>
      <c r="T499" s="7"/>
      <c r="U499" s="7"/>
      <c r="V499" s="7"/>
      <c r="W499" s="7"/>
      <c r="X499" s="7"/>
    </row>
    <row r="500" spans="1:24" x14ac:dyDescent="0.25">
      <c r="A500" s="96"/>
      <c r="B500" s="96"/>
      <c r="C500" s="96"/>
      <c r="J500" s="36"/>
      <c r="K500" s="36"/>
      <c r="L500" s="7"/>
      <c r="M500" s="7"/>
      <c r="N500" s="7"/>
      <c r="O500" s="7"/>
      <c r="P500" s="7"/>
      <c r="S500" s="33"/>
      <c r="T500" s="7"/>
      <c r="U500" s="7"/>
      <c r="V500" s="7"/>
      <c r="W500" s="7"/>
      <c r="X500" s="7"/>
    </row>
    <row r="501" spans="1:24" x14ac:dyDescent="0.25">
      <c r="A501" s="96"/>
      <c r="B501" s="96"/>
      <c r="C501" s="96"/>
      <c r="J501" s="36"/>
      <c r="K501" s="36"/>
      <c r="L501" s="7"/>
      <c r="M501" s="7"/>
      <c r="N501" s="7"/>
      <c r="O501" s="7"/>
      <c r="P501" s="7"/>
      <c r="S501" s="33"/>
      <c r="T501" s="7"/>
      <c r="U501" s="7"/>
      <c r="V501" s="7"/>
      <c r="W501" s="7"/>
      <c r="X501" s="7"/>
    </row>
    <row r="502" spans="1:24" x14ac:dyDescent="0.25">
      <c r="A502" s="96"/>
      <c r="B502" s="96"/>
      <c r="C502" s="96"/>
      <c r="J502" s="36"/>
      <c r="K502" s="36"/>
      <c r="L502" s="7"/>
      <c r="M502" s="7"/>
      <c r="N502" s="7"/>
      <c r="O502" s="7"/>
      <c r="P502" s="7"/>
      <c r="S502" s="33"/>
      <c r="T502" s="7"/>
      <c r="U502" s="7"/>
      <c r="V502" s="7"/>
      <c r="W502" s="7"/>
      <c r="X502" s="7"/>
    </row>
    <row r="503" spans="1:24" x14ac:dyDescent="0.25">
      <c r="A503" s="96"/>
      <c r="B503" s="96"/>
      <c r="C503" s="96"/>
      <c r="J503" s="36"/>
      <c r="K503" s="36"/>
      <c r="L503" s="7"/>
      <c r="M503" s="7"/>
      <c r="N503" s="7"/>
      <c r="O503" s="7"/>
      <c r="P503" s="7"/>
      <c r="S503" s="33"/>
      <c r="T503" s="7"/>
      <c r="U503" s="7"/>
      <c r="V503" s="7"/>
      <c r="W503" s="7"/>
      <c r="X503" s="7"/>
    </row>
    <row r="504" spans="1:24" x14ac:dyDescent="0.25">
      <c r="A504" s="96"/>
      <c r="B504" s="96"/>
      <c r="C504" s="96"/>
      <c r="J504" s="36"/>
      <c r="K504" s="36"/>
      <c r="L504" s="7"/>
      <c r="M504" s="7"/>
      <c r="N504" s="7"/>
      <c r="O504" s="7"/>
      <c r="P504" s="7"/>
      <c r="S504" s="33"/>
      <c r="T504" s="7"/>
      <c r="U504" s="7"/>
      <c r="V504" s="7"/>
      <c r="W504" s="7"/>
      <c r="X504" s="7"/>
    </row>
    <row r="505" spans="1:24" x14ac:dyDescent="0.25">
      <c r="A505" s="96"/>
      <c r="B505" s="96"/>
      <c r="C505" s="96"/>
      <c r="J505" s="36"/>
      <c r="K505" s="36"/>
      <c r="L505" s="7"/>
      <c r="M505" s="7"/>
      <c r="N505" s="7"/>
      <c r="O505" s="7"/>
      <c r="P505" s="7"/>
      <c r="S505" s="33"/>
      <c r="T505" s="7"/>
      <c r="U505" s="7"/>
      <c r="V505" s="7"/>
      <c r="W505" s="7"/>
      <c r="X505" s="7"/>
    </row>
    <row r="506" spans="1:24" x14ac:dyDescent="0.25">
      <c r="A506" s="96"/>
      <c r="B506" s="96"/>
      <c r="C506" s="96"/>
      <c r="J506" s="36"/>
      <c r="K506" s="36"/>
      <c r="L506" s="7"/>
      <c r="M506" s="7"/>
      <c r="N506" s="7"/>
      <c r="O506" s="7"/>
      <c r="P506" s="7"/>
      <c r="S506" s="33"/>
      <c r="T506" s="7"/>
      <c r="U506" s="7"/>
      <c r="V506" s="7"/>
      <c r="W506" s="7"/>
      <c r="X506" s="7"/>
    </row>
    <row r="507" spans="1:24" x14ac:dyDescent="0.25">
      <c r="A507" s="96"/>
      <c r="B507" s="96"/>
      <c r="C507" s="96"/>
      <c r="J507" s="36"/>
      <c r="K507" s="36"/>
      <c r="L507" s="7"/>
      <c r="M507" s="7"/>
      <c r="N507" s="7"/>
      <c r="O507" s="7"/>
      <c r="P507" s="7"/>
      <c r="S507" s="33"/>
      <c r="T507" s="7"/>
      <c r="U507" s="7"/>
      <c r="V507" s="7"/>
      <c r="W507" s="7"/>
      <c r="X507" s="7"/>
    </row>
    <row r="508" spans="1:24" x14ac:dyDescent="0.25">
      <c r="A508" s="96"/>
      <c r="B508" s="96"/>
      <c r="C508" s="96"/>
      <c r="J508" s="36"/>
      <c r="K508" s="36"/>
      <c r="L508" s="7"/>
      <c r="M508" s="7"/>
      <c r="N508" s="7"/>
      <c r="O508" s="7"/>
      <c r="P508" s="7"/>
      <c r="S508" s="33"/>
      <c r="T508" s="7"/>
      <c r="U508" s="7"/>
      <c r="V508" s="7"/>
      <c r="W508" s="7"/>
      <c r="X508" s="7"/>
    </row>
    <row r="509" spans="1:24" x14ac:dyDescent="0.25">
      <c r="A509" s="96"/>
      <c r="B509" s="96"/>
      <c r="C509" s="96"/>
      <c r="D509" s="34"/>
      <c r="J509" s="36"/>
      <c r="K509" s="36"/>
      <c r="L509" s="7"/>
      <c r="M509" s="7"/>
      <c r="N509" s="7"/>
      <c r="O509" s="7"/>
      <c r="P509" s="7"/>
      <c r="S509" s="33"/>
      <c r="T509" s="7"/>
      <c r="U509" s="7"/>
      <c r="V509" s="7"/>
      <c r="W509" s="7"/>
      <c r="X509" s="7"/>
    </row>
    <row r="510" spans="1:24" x14ac:dyDescent="0.25">
      <c r="A510" s="96"/>
      <c r="B510" s="96"/>
      <c r="C510" s="96"/>
      <c r="J510" s="36"/>
      <c r="K510" s="36"/>
      <c r="L510" s="7"/>
      <c r="M510" s="7"/>
      <c r="N510" s="7"/>
      <c r="O510" s="7"/>
      <c r="P510" s="7"/>
      <c r="S510" s="33"/>
      <c r="T510" s="7"/>
      <c r="U510" s="7"/>
      <c r="V510" s="7"/>
      <c r="W510" s="7"/>
      <c r="X510" s="7"/>
    </row>
    <row r="511" spans="1:24" x14ac:dyDescent="0.25">
      <c r="A511" s="96"/>
      <c r="B511" s="96"/>
      <c r="C511" s="96"/>
      <c r="J511" s="36"/>
      <c r="K511" s="36"/>
      <c r="L511" s="7"/>
      <c r="M511" s="7"/>
      <c r="N511" s="7"/>
      <c r="O511" s="7"/>
      <c r="P511" s="7"/>
      <c r="S511" s="33"/>
      <c r="T511" s="7"/>
      <c r="U511" s="7"/>
      <c r="V511" s="7"/>
      <c r="W511" s="7"/>
      <c r="X511" s="7"/>
    </row>
    <row r="512" spans="1:24" x14ac:dyDescent="0.25">
      <c r="A512" s="96"/>
      <c r="B512" s="96"/>
      <c r="C512" s="96"/>
      <c r="D512" s="7"/>
      <c r="E512" s="7"/>
      <c r="F512" s="7"/>
      <c r="G512" s="7"/>
      <c r="H512" s="7"/>
      <c r="I512" s="7"/>
      <c r="J512" s="36"/>
      <c r="K512" s="36"/>
      <c r="L512" s="7"/>
      <c r="M512" s="7"/>
      <c r="N512" s="7"/>
      <c r="O512" s="7"/>
      <c r="P512" s="7"/>
      <c r="S512" s="33"/>
      <c r="T512" s="7"/>
      <c r="U512" s="7"/>
      <c r="V512" s="7"/>
      <c r="W512" s="7"/>
      <c r="X512" s="7"/>
    </row>
    <row r="513" spans="1:24" x14ac:dyDescent="0.25">
      <c r="A513" s="96"/>
      <c r="B513" s="96"/>
      <c r="C513" s="96"/>
      <c r="D513" s="7"/>
      <c r="E513" s="7"/>
      <c r="F513" s="7"/>
      <c r="G513" s="7"/>
      <c r="H513" s="7"/>
      <c r="I513" s="7"/>
      <c r="J513" s="36"/>
      <c r="K513" s="36"/>
      <c r="L513" s="7"/>
      <c r="M513" s="7"/>
      <c r="N513" s="7"/>
      <c r="O513" s="7"/>
      <c r="P513" s="7"/>
      <c r="S513" s="33"/>
      <c r="T513" s="7"/>
      <c r="U513" s="7"/>
      <c r="V513" s="7"/>
      <c r="W513" s="7"/>
      <c r="X513" s="7"/>
    </row>
    <row r="514" spans="1:24" x14ac:dyDescent="0.25">
      <c r="A514" s="96"/>
      <c r="B514" s="96"/>
      <c r="C514" s="96"/>
      <c r="D514" s="7"/>
      <c r="E514" s="7"/>
      <c r="F514" s="7"/>
      <c r="G514" s="7"/>
      <c r="H514" s="7"/>
      <c r="I514" s="7"/>
      <c r="J514" s="36"/>
      <c r="K514" s="36"/>
      <c r="L514" s="7"/>
      <c r="M514" s="7"/>
      <c r="N514" s="7"/>
      <c r="O514" s="7"/>
      <c r="P514" s="7"/>
      <c r="S514" s="33"/>
      <c r="T514" s="7"/>
      <c r="U514" s="7"/>
      <c r="V514" s="7"/>
      <c r="W514" s="7"/>
      <c r="X514" s="7"/>
    </row>
    <row r="515" spans="1:24" x14ac:dyDescent="0.25">
      <c r="A515" s="96"/>
      <c r="B515" s="96"/>
      <c r="C515" s="96"/>
      <c r="D515" s="7"/>
      <c r="E515" s="7"/>
      <c r="F515" s="7"/>
      <c r="G515" s="7"/>
      <c r="H515" s="7"/>
      <c r="I515" s="7"/>
      <c r="J515" s="36"/>
      <c r="K515" s="36"/>
      <c r="L515" s="7"/>
      <c r="M515" s="7"/>
      <c r="N515" s="7"/>
      <c r="O515" s="7"/>
      <c r="P515" s="7"/>
      <c r="S515" s="33"/>
      <c r="T515" s="7"/>
      <c r="U515" s="7"/>
      <c r="V515" s="7"/>
      <c r="W515" s="7"/>
      <c r="X515" s="7"/>
    </row>
    <row r="516" spans="1:24" x14ac:dyDescent="0.25">
      <c r="A516" s="96"/>
      <c r="B516" s="96"/>
      <c r="C516" s="96"/>
      <c r="D516" s="7"/>
      <c r="E516" s="7"/>
      <c r="F516" s="7"/>
      <c r="G516" s="7"/>
      <c r="H516" s="7"/>
      <c r="I516" s="7"/>
      <c r="J516" s="36"/>
      <c r="K516" s="36"/>
      <c r="L516" s="7"/>
      <c r="M516" s="7"/>
      <c r="N516" s="7"/>
      <c r="O516" s="7"/>
      <c r="P516" s="7"/>
      <c r="S516" s="33"/>
      <c r="T516" s="7"/>
      <c r="U516" s="7"/>
      <c r="V516" s="7"/>
      <c r="W516" s="7"/>
      <c r="X516" s="7"/>
    </row>
    <row r="517" spans="1:24" x14ac:dyDescent="0.25">
      <c r="A517" s="96"/>
      <c r="B517" s="96"/>
      <c r="C517" s="96"/>
      <c r="D517" s="7"/>
      <c r="E517" s="7"/>
      <c r="F517" s="7"/>
      <c r="G517" s="7"/>
      <c r="H517" s="7"/>
      <c r="I517" s="7"/>
      <c r="J517" s="36"/>
      <c r="K517" s="36"/>
      <c r="L517" s="7"/>
      <c r="M517" s="7"/>
      <c r="N517" s="7"/>
      <c r="O517" s="7"/>
      <c r="P517" s="7"/>
      <c r="S517" s="33"/>
      <c r="T517" s="7"/>
      <c r="U517" s="7"/>
      <c r="V517" s="7"/>
      <c r="W517" s="7"/>
      <c r="X517" s="7"/>
    </row>
    <row r="518" spans="1:24" x14ac:dyDescent="0.25">
      <c r="A518" s="96"/>
      <c r="B518" s="96"/>
      <c r="C518" s="96"/>
      <c r="D518" s="7"/>
      <c r="E518" s="7"/>
      <c r="F518" s="7"/>
      <c r="G518" s="7"/>
      <c r="H518" s="7"/>
      <c r="I518" s="7"/>
      <c r="J518" s="36"/>
      <c r="K518" s="36"/>
      <c r="L518" s="7"/>
      <c r="M518" s="7"/>
      <c r="N518" s="7"/>
      <c r="O518" s="7"/>
      <c r="P518" s="7"/>
      <c r="S518" s="33"/>
      <c r="T518" s="7"/>
      <c r="U518" s="7"/>
      <c r="V518" s="7"/>
      <c r="W518" s="7"/>
      <c r="X518" s="7"/>
    </row>
    <row r="519" spans="1:24" x14ac:dyDescent="0.25">
      <c r="A519" s="96"/>
      <c r="B519" s="96"/>
      <c r="C519" s="96"/>
      <c r="D519" s="7"/>
      <c r="E519" s="7"/>
      <c r="F519" s="7"/>
      <c r="G519" s="7"/>
      <c r="H519" s="7"/>
      <c r="I519" s="7"/>
      <c r="J519" s="36"/>
      <c r="K519" s="36"/>
      <c r="L519" s="7"/>
      <c r="M519" s="7"/>
      <c r="N519" s="7"/>
      <c r="O519" s="7"/>
      <c r="P519" s="7"/>
      <c r="S519" s="33"/>
      <c r="T519" s="7"/>
      <c r="U519" s="7"/>
      <c r="V519" s="7"/>
      <c r="W519" s="7"/>
      <c r="X519" s="7"/>
    </row>
    <row r="520" spans="1:24" x14ac:dyDescent="0.25">
      <c r="A520" s="96"/>
      <c r="B520" s="96"/>
      <c r="C520" s="96"/>
      <c r="D520" s="7"/>
      <c r="E520" s="7"/>
      <c r="F520" s="7"/>
      <c r="G520" s="7"/>
      <c r="H520" s="7"/>
      <c r="I520" s="7"/>
      <c r="J520" s="36"/>
      <c r="K520" s="36"/>
      <c r="L520" s="7"/>
      <c r="M520" s="7"/>
      <c r="N520" s="7"/>
      <c r="O520" s="7"/>
      <c r="P520" s="7"/>
      <c r="S520" s="33"/>
      <c r="T520" s="7"/>
      <c r="U520" s="7"/>
      <c r="V520" s="7"/>
      <c r="W520" s="7"/>
      <c r="X520" s="7"/>
    </row>
    <row r="521" spans="1:24" x14ac:dyDescent="0.25">
      <c r="A521" s="96"/>
      <c r="B521" s="96"/>
      <c r="C521" s="96"/>
      <c r="D521" s="7"/>
      <c r="E521" s="7"/>
      <c r="F521" s="7"/>
      <c r="G521" s="7"/>
      <c r="H521" s="7"/>
      <c r="I521" s="7"/>
      <c r="J521" s="36"/>
      <c r="K521" s="36"/>
      <c r="L521" s="7"/>
      <c r="M521" s="7"/>
      <c r="N521" s="7"/>
      <c r="O521" s="7"/>
      <c r="P521" s="7"/>
      <c r="S521" s="33"/>
      <c r="T521" s="7"/>
      <c r="U521" s="7"/>
      <c r="V521" s="7"/>
      <c r="W521" s="7"/>
      <c r="X521" s="7"/>
    </row>
    <row r="522" spans="1:24" x14ac:dyDescent="0.25">
      <c r="A522" s="96"/>
      <c r="B522" s="96"/>
      <c r="C522" s="96"/>
      <c r="D522" s="7"/>
      <c r="E522" s="7"/>
      <c r="F522" s="7"/>
      <c r="G522" s="7"/>
      <c r="H522" s="7"/>
      <c r="I522" s="7"/>
      <c r="J522" s="36"/>
      <c r="K522" s="36"/>
      <c r="L522" s="7"/>
      <c r="M522" s="7"/>
      <c r="N522" s="7"/>
      <c r="O522" s="7"/>
      <c r="P522" s="7"/>
      <c r="S522" s="33"/>
      <c r="T522" s="7"/>
      <c r="U522" s="7"/>
      <c r="V522" s="7"/>
      <c r="W522" s="7"/>
      <c r="X522" s="7"/>
    </row>
    <row r="523" spans="1:24" x14ac:dyDescent="0.25">
      <c r="A523" s="96"/>
      <c r="B523" s="96"/>
      <c r="C523" s="96"/>
      <c r="D523" s="7"/>
      <c r="E523" s="7"/>
      <c r="F523" s="7"/>
      <c r="G523" s="7"/>
      <c r="H523" s="7"/>
      <c r="I523" s="7"/>
      <c r="J523" s="36"/>
      <c r="K523" s="36"/>
      <c r="L523" s="7"/>
      <c r="M523" s="7"/>
      <c r="N523" s="7"/>
      <c r="O523" s="7"/>
      <c r="P523" s="7"/>
      <c r="S523" s="33"/>
      <c r="T523" s="7"/>
      <c r="U523" s="7"/>
      <c r="V523" s="7"/>
      <c r="W523" s="7"/>
      <c r="X523" s="7"/>
    </row>
    <row r="524" spans="1:24" x14ac:dyDescent="0.25">
      <c r="A524" s="96"/>
      <c r="B524" s="96"/>
      <c r="C524" s="96"/>
      <c r="D524" s="7"/>
      <c r="E524" s="7"/>
      <c r="F524" s="7"/>
      <c r="G524" s="7"/>
      <c r="H524" s="7"/>
      <c r="I524" s="7"/>
      <c r="J524" s="36"/>
      <c r="K524" s="36"/>
      <c r="L524" s="7"/>
      <c r="M524" s="7"/>
      <c r="N524" s="7"/>
      <c r="O524" s="7"/>
      <c r="P524" s="7"/>
      <c r="S524" s="33"/>
      <c r="T524" s="7"/>
      <c r="U524" s="7"/>
      <c r="V524" s="7"/>
      <c r="W524" s="7"/>
      <c r="X524" s="7"/>
    </row>
    <row r="525" spans="1:24" x14ac:dyDescent="0.25">
      <c r="A525" s="96"/>
      <c r="B525" s="96"/>
      <c r="C525" s="96"/>
      <c r="D525" s="7"/>
      <c r="E525" s="7"/>
      <c r="F525" s="7"/>
      <c r="G525" s="7"/>
      <c r="H525" s="7"/>
      <c r="I525" s="7"/>
      <c r="J525" s="36"/>
      <c r="K525" s="36"/>
      <c r="L525" s="7"/>
      <c r="M525" s="7"/>
      <c r="N525" s="7"/>
      <c r="O525" s="7"/>
      <c r="P525" s="7"/>
      <c r="S525" s="33"/>
      <c r="T525" s="7"/>
      <c r="U525" s="7"/>
      <c r="V525" s="7"/>
      <c r="W525" s="7"/>
      <c r="X525" s="7"/>
    </row>
    <row r="526" spans="1:24" x14ac:dyDescent="0.25">
      <c r="A526" s="96"/>
      <c r="B526" s="96"/>
      <c r="C526" s="96"/>
      <c r="D526" s="7"/>
      <c r="E526" s="7"/>
      <c r="F526" s="7"/>
      <c r="G526" s="7"/>
      <c r="H526" s="7"/>
      <c r="I526" s="7"/>
      <c r="J526" s="36"/>
      <c r="K526" s="36"/>
      <c r="L526" s="7"/>
      <c r="M526" s="7"/>
      <c r="N526" s="7"/>
      <c r="O526" s="7"/>
      <c r="P526" s="7"/>
      <c r="S526" s="33"/>
      <c r="T526" s="7"/>
      <c r="U526" s="7"/>
      <c r="V526" s="7"/>
      <c r="W526" s="7"/>
      <c r="X526" s="7"/>
    </row>
    <row r="527" spans="1:24" x14ac:dyDescent="0.25">
      <c r="A527" s="96"/>
      <c r="B527" s="96"/>
      <c r="C527" s="96"/>
      <c r="D527" s="7"/>
      <c r="E527" s="7"/>
      <c r="F527" s="7"/>
      <c r="G527" s="7"/>
      <c r="H527" s="7"/>
      <c r="I527" s="7"/>
      <c r="J527" s="36"/>
      <c r="K527" s="36"/>
      <c r="L527" s="7"/>
      <c r="M527" s="7"/>
      <c r="N527" s="7"/>
      <c r="O527" s="7"/>
      <c r="P527" s="7"/>
      <c r="S527" s="33"/>
      <c r="T527" s="7"/>
      <c r="U527" s="7"/>
      <c r="V527" s="7"/>
      <c r="W527" s="7"/>
      <c r="X527" s="7"/>
    </row>
    <row r="528" spans="1:24" x14ac:dyDescent="0.25">
      <c r="A528" s="96"/>
      <c r="B528" s="96"/>
      <c r="C528" s="96"/>
      <c r="D528" s="7"/>
      <c r="E528" s="7"/>
      <c r="F528" s="7"/>
      <c r="G528" s="7"/>
      <c r="H528" s="7"/>
      <c r="I528" s="7"/>
      <c r="J528" s="36"/>
      <c r="K528" s="36"/>
      <c r="L528" s="7"/>
      <c r="M528" s="7"/>
      <c r="N528" s="7"/>
      <c r="O528" s="7"/>
      <c r="P528" s="7"/>
      <c r="S528" s="33"/>
      <c r="T528" s="7"/>
      <c r="U528" s="7"/>
      <c r="V528" s="7"/>
      <c r="W528" s="7"/>
      <c r="X528" s="7"/>
    </row>
    <row r="529" spans="1:24" x14ac:dyDescent="0.25">
      <c r="A529" s="96"/>
      <c r="B529" s="96"/>
      <c r="C529" s="96"/>
      <c r="D529" s="7"/>
      <c r="E529" s="7"/>
      <c r="F529" s="7"/>
      <c r="G529" s="7"/>
      <c r="H529" s="7"/>
      <c r="I529" s="7"/>
      <c r="J529" s="36"/>
      <c r="K529" s="36"/>
      <c r="L529" s="7"/>
      <c r="M529" s="7"/>
      <c r="N529" s="7"/>
      <c r="O529" s="7"/>
      <c r="P529" s="7"/>
      <c r="S529" s="33"/>
      <c r="T529" s="7"/>
      <c r="U529" s="7"/>
      <c r="V529" s="7"/>
      <c r="W529" s="7"/>
      <c r="X529" s="7"/>
    </row>
    <row r="530" spans="1:24" x14ac:dyDescent="0.25">
      <c r="A530" s="96"/>
      <c r="B530" s="96"/>
      <c r="C530" s="96"/>
      <c r="D530" s="7"/>
      <c r="E530" s="7"/>
      <c r="F530" s="7"/>
      <c r="G530" s="7"/>
      <c r="H530" s="7"/>
      <c r="I530" s="7"/>
      <c r="J530" s="36"/>
      <c r="K530" s="36"/>
      <c r="L530" s="7"/>
      <c r="M530" s="7"/>
      <c r="N530" s="7"/>
      <c r="O530" s="7"/>
      <c r="P530" s="7"/>
      <c r="S530" s="33"/>
      <c r="T530" s="7"/>
      <c r="U530" s="7"/>
      <c r="V530" s="7"/>
      <c r="W530" s="7"/>
      <c r="X530" s="7"/>
    </row>
    <row r="531" spans="1:24" x14ac:dyDescent="0.25">
      <c r="A531" s="96"/>
      <c r="B531" s="96"/>
      <c r="C531" s="96"/>
      <c r="D531" s="7"/>
      <c r="E531" s="7"/>
      <c r="F531" s="7"/>
      <c r="G531" s="7"/>
      <c r="H531" s="7"/>
      <c r="I531" s="7"/>
      <c r="J531" s="36"/>
      <c r="K531" s="36"/>
      <c r="L531" s="7"/>
      <c r="M531" s="7"/>
      <c r="N531" s="7"/>
      <c r="O531" s="7"/>
      <c r="P531" s="7"/>
      <c r="S531" s="33"/>
      <c r="T531" s="7"/>
      <c r="U531" s="7"/>
      <c r="V531" s="7"/>
      <c r="W531" s="7"/>
      <c r="X531" s="7"/>
    </row>
    <row r="532" spans="1:24" x14ac:dyDescent="0.25">
      <c r="A532" s="96"/>
      <c r="B532" s="96"/>
      <c r="C532" s="96"/>
      <c r="D532" s="7"/>
      <c r="E532" s="7"/>
      <c r="F532" s="7"/>
      <c r="G532" s="7"/>
      <c r="H532" s="7"/>
      <c r="I532" s="7"/>
      <c r="J532" s="36"/>
      <c r="K532" s="36"/>
      <c r="L532" s="7"/>
      <c r="M532" s="7"/>
      <c r="N532" s="7"/>
      <c r="O532" s="7"/>
      <c r="P532" s="7"/>
      <c r="S532" s="33"/>
      <c r="T532" s="7"/>
      <c r="U532" s="7"/>
      <c r="V532" s="7"/>
      <c r="W532" s="7"/>
      <c r="X532" s="7"/>
    </row>
    <row r="533" spans="1:24" x14ac:dyDescent="0.25">
      <c r="A533" s="96"/>
      <c r="B533" s="96"/>
      <c r="C533" s="96"/>
      <c r="D533" s="7"/>
      <c r="E533" s="7"/>
      <c r="F533" s="7"/>
      <c r="G533" s="7"/>
      <c r="H533" s="7"/>
      <c r="I533" s="7"/>
      <c r="J533" s="36"/>
      <c r="K533" s="36"/>
      <c r="L533" s="7"/>
      <c r="M533" s="7"/>
      <c r="N533" s="7"/>
      <c r="O533" s="7"/>
      <c r="P533" s="7"/>
      <c r="S533" s="33"/>
      <c r="T533" s="7"/>
      <c r="U533" s="7"/>
      <c r="V533" s="7"/>
      <c r="W533" s="7"/>
      <c r="X533" s="7"/>
    </row>
    <row r="534" spans="1:24" x14ac:dyDescent="0.25">
      <c r="A534" s="96"/>
      <c r="B534" s="96"/>
      <c r="C534" s="96"/>
      <c r="D534" s="7"/>
      <c r="E534" s="7"/>
      <c r="F534" s="7"/>
      <c r="G534" s="7"/>
      <c r="H534" s="7"/>
      <c r="I534" s="7"/>
      <c r="J534" s="36"/>
      <c r="K534" s="36"/>
      <c r="L534" s="7"/>
      <c r="M534" s="7"/>
      <c r="N534" s="7"/>
      <c r="O534" s="7"/>
      <c r="P534" s="7"/>
      <c r="S534" s="33"/>
      <c r="T534" s="7"/>
      <c r="U534" s="7"/>
      <c r="V534" s="7"/>
      <c r="W534" s="7"/>
      <c r="X534" s="7"/>
    </row>
    <row r="535" spans="1:24" x14ac:dyDescent="0.25">
      <c r="A535" s="96"/>
      <c r="B535" s="96"/>
      <c r="C535" s="96"/>
      <c r="D535" s="7"/>
      <c r="E535" s="7"/>
      <c r="F535" s="7"/>
      <c r="G535" s="7"/>
      <c r="H535" s="7"/>
      <c r="I535" s="7"/>
      <c r="J535" s="36"/>
      <c r="K535" s="36"/>
      <c r="L535" s="7"/>
      <c r="M535" s="7"/>
      <c r="N535" s="7"/>
      <c r="O535" s="7"/>
      <c r="P535" s="7"/>
      <c r="S535" s="33"/>
      <c r="T535" s="7"/>
      <c r="U535" s="7"/>
      <c r="V535" s="7"/>
      <c r="W535" s="7"/>
      <c r="X535" s="7"/>
    </row>
    <row r="536" spans="1:24" x14ac:dyDescent="0.25">
      <c r="A536" s="96"/>
      <c r="B536" s="96"/>
      <c r="C536" s="96"/>
      <c r="D536" s="7"/>
      <c r="E536" s="7"/>
      <c r="F536" s="7"/>
      <c r="G536" s="7"/>
      <c r="H536" s="7"/>
      <c r="I536" s="7"/>
      <c r="J536" s="36"/>
      <c r="K536" s="36"/>
      <c r="L536" s="7"/>
      <c r="M536" s="7"/>
      <c r="N536" s="7"/>
      <c r="O536" s="7"/>
      <c r="P536" s="7"/>
      <c r="S536" s="33"/>
      <c r="T536" s="7"/>
      <c r="U536" s="7"/>
      <c r="V536" s="7"/>
      <c r="W536" s="7"/>
      <c r="X536" s="7"/>
    </row>
    <row r="537" spans="1:24" x14ac:dyDescent="0.25">
      <c r="A537" s="96"/>
      <c r="B537" s="96"/>
      <c r="C537" s="96"/>
      <c r="D537" s="7"/>
      <c r="E537" s="7"/>
      <c r="F537" s="7"/>
      <c r="G537" s="7"/>
      <c r="H537" s="7"/>
      <c r="I537" s="7"/>
      <c r="J537" s="36"/>
      <c r="K537" s="36"/>
      <c r="L537" s="7"/>
      <c r="M537" s="7"/>
      <c r="N537" s="7"/>
      <c r="O537" s="7"/>
      <c r="P537" s="7"/>
      <c r="S537" s="33"/>
      <c r="T537" s="7"/>
      <c r="U537" s="7"/>
      <c r="V537" s="7"/>
      <c r="W537" s="7"/>
      <c r="X537" s="7"/>
    </row>
    <row r="538" spans="1:24" x14ac:dyDescent="0.25">
      <c r="A538" s="96"/>
      <c r="B538" s="96"/>
      <c r="C538" s="96"/>
      <c r="D538" s="7"/>
      <c r="E538" s="7"/>
      <c r="F538" s="7"/>
      <c r="G538" s="7"/>
      <c r="H538" s="7"/>
      <c r="I538" s="7"/>
      <c r="J538" s="36"/>
      <c r="K538" s="36"/>
      <c r="L538" s="7"/>
      <c r="M538" s="7"/>
      <c r="N538" s="7"/>
      <c r="O538" s="7"/>
      <c r="P538" s="7"/>
      <c r="S538" s="33"/>
      <c r="T538" s="7"/>
      <c r="U538" s="7"/>
      <c r="V538" s="7"/>
      <c r="W538" s="7"/>
      <c r="X538" s="7"/>
    </row>
    <row r="539" spans="1:24" x14ac:dyDescent="0.25">
      <c r="A539" s="96"/>
      <c r="B539" s="96"/>
      <c r="C539" s="96"/>
      <c r="D539" s="7"/>
      <c r="E539" s="7"/>
      <c r="F539" s="7"/>
      <c r="G539" s="7"/>
      <c r="H539" s="7"/>
      <c r="I539" s="7"/>
      <c r="J539" s="36"/>
      <c r="K539" s="36"/>
      <c r="L539" s="7"/>
      <c r="M539" s="7"/>
      <c r="N539" s="7"/>
      <c r="O539" s="7"/>
      <c r="P539" s="7"/>
      <c r="S539" s="33"/>
      <c r="T539" s="7"/>
      <c r="U539" s="7"/>
      <c r="V539" s="7"/>
      <c r="W539" s="7"/>
      <c r="X539" s="7"/>
    </row>
    <row r="540" spans="1:24" x14ac:dyDescent="0.25">
      <c r="A540" s="96"/>
      <c r="B540" s="96"/>
      <c r="C540" s="96"/>
      <c r="D540" s="7"/>
      <c r="E540" s="7"/>
      <c r="F540" s="7"/>
      <c r="G540" s="7"/>
      <c r="H540" s="7"/>
      <c r="I540" s="7"/>
      <c r="J540" s="36"/>
      <c r="K540" s="36"/>
      <c r="L540" s="7"/>
      <c r="M540" s="7"/>
      <c r="N540" s="7"/>
      <c r="O540" s="7"/>
      <c r="P540" s="7"/>
      <c r="S540" s="33"/>
      <c r="T540" s="7"/>
      <c r="U540" s="7"/>
      <c r="V540" s="7"/>
      <c r="W540" s="7"/>
      <c r="X540" s="7"/>
    </row>
    <row r="541" spans="1:24" x14ac:dyDescent="0.25">
      <c r="A541" s="96"/>
      <c r="B541" s="96"/>
      <c r="C541" s="96"/>
      <c r="D541" s="7"/>
      <c r="E541" s="7"/>
      <c r="F541" s="7"/>
      <c r="G541" s="7"/>
      <c r="H541" s="7"/>
      <c r="I541" s="7"/>
      <c r="J541" s="36"/>
      <c r="K541" s="36"/>
      <c r="L541" s="7"/>
      <c r="M541" s="7"/>
      <c r="N541" s="7"/>
      <c r="O541" s="7"/>
      <c r="P541" s="7"/>
      <c r="S541" s="33"/>
      <c r="T541" s="7"/>
      <c r="U541" s="7"/>
      <c r="V541" s="7"/>
      <c r="W541" s="7"/>
      <c r="X541" s="7"/>
    </row>
    <row r="542" spans="1:24" x14ac:dyDescent="0.25">
      <c r="A542" s="96"/>
      <c r="B542" s="96"/>
      <c r="C542" s="96"/>
      <c r="D542" s="7"/>
      <c r="E542" s="7"/>
      <c r="F542" s="7"/>
      <c r="G542" s="7"/>
      <c r="H542" s="7"/>
      <c r="I542" s="7"/>
      <c r="J542" s="36"/>
      <c r="K542" s="36"/>
      <c r="L542" s="7"/>
      <c r="M542" s="7"/>
      <c r="N542" s="7"/>
      <c r="O542" s="7"/>
      <c r="P542" s="7"/>
      <c r="S542" s="33"/>
      <c r="T542" s="7"/>
      <c r="U542" s="7"/>
      <c r="V542" s="7"/>
      <c r="W542" s="7"/>
      <c r="X542" s="7"/>
    </row>
    <row r="543" spans="1:24" x14ac:dyDescent="0.25">
      <c r="A543" s="96"/>
      <c r="B543" s="96"/>
      <c r="C543" s="96"/>
      <c r="D543" s="7"/>
      <c r="E543" s="7"/>
      <c r="F543" s="7"/>
      <c r="G543" s="7"/>
      <c r="H543" s="7"/>
      <c r="I543" s="7"/>
      <c r="J543" s="36"/>
      <c r="K543" s="36"/>
      <c r="L543" s="7"/>
      <c r="M543" s="7"/>
      <c r="N543" s="7"/>
      <c r="O543" s="7"/>
      <c r="P543" s="7"/>
      <c r="S543" s="33"/>
      <c r="T543" s="7"/>
      <c r="U543" s="7"/>
      <c r="V543" s="7"/>
      <c r="W543" s="7"/>
      <c r="X543" s="7"/>
    </row>
    <row r="544" spans="1:24" x14ac:dyDescent="0.25">
      <c r="A544" s="96"/>
      <c r="B544" s="96"/>
      <c r="C544" s="96"/>
      <c r="D544" s="7"/>
      <c r="E544" s="7"/>
      <c r="F544" s="7"/>
      <c r="G544" s="7"/>
      <c r="H544" s="7"/>
      <c r="I544" s="7"/>
      <c r="J544" s="36"/>
      <c r="K544" s="36"/>
      <c r="L544" s="7"/>
      <c r="M544" s="7"/>
      <c r="N544" s="7"/>
      <c r="O544" s="7"/>
      <c r="P544" s="7"/>
      <c r="S544" s="33"/>
      <c r="T544" s="7"/>
      <c r="U544" s="7"/>
      <c r="V544" s="7"/>
      <c r="W544" s="7"/>
      <c r="X544" s="7"/>
    </row>
    <row r="545" spans="1:24" x14ac:dyDescent="0.25">
      <c r="A545" s="96"/>
      <c r="B545" s="96"/>
      <c r="C545" s="96"/>
      <c r="D545" s="7"/>
      <c r="E545" s="7"/>
      <c r="F545" s="7"/>
      <c r="G545" s="7"/>
      <c r="H545" s="7"/>
      <c r="I545" s="7"/>
      <c r="J545" s="36"/>
      <c r="K545" s="36"/>
      <c r="L545" s="7"/>
      <c r="M545" s="7"/>
      <c r="N545" s="7"/>
      <c r="O545" s="7"/>
      <c r="P545" s="7"/>
      <c r="S545" s="33"/>
      <c r="T545" s="7"/>
      <c r="U545" s="7"/>
      <c r="V545" s="7"/>
      <c r="W545" s="7"/>
      <c r="X545" s="7"/>
    </row>
    <row r="546" spans="1:24" x14ac:dyDescent="0.25">
      <c r="A546" s="96"/>
      <c r="B546" s="96"/>
      <c r="C546" s="96"/>
      <c r="D546" s="7"/>
      <c r="E546" s="7"/>
      <c r="F546" s="7"/>
      <c r="G546" s="7"/>
      <c r="H546" s="7"/>
      <c r="I546" s="7"/>
      <c r="J546" s="36"/>
      <c r="K546" s="36"/>
      <c r="L546" s="7"/>
      <c r="M546" s="7"/>
      <c r="N546" s="7"/>
      <c r="O546" s="7"/>
      <c r="P546" s="7"/>
      <c r="S546" s="33"/>
      <c r="T546" s="7"/>
      <c r="U546" s="7"/>
      <c r="V546" s="7"/>
      <c r="W546" s="7"/>
      <c r="X546" s="7"/>
    </row>
    <row r="547" spans="1:24" x14ac:dyDescent="0.25">
      <c r="A547" s="96"/>
      <c r="B547" s="96"/>
      <c r="C547" s="96"/>
      <c r="D547" s="7"/>
      <c r="E547" s="7"/>
      <c r="F547" s="7"/>
      <c r="G547" s="7"/>
      <c r="H547" s="7"/>
      <c r="I547" s="7"/>
      <c r="J547" s="36"/>
      <c r="K547" s="36"/>
      <c r="L547" s="7"/>
      <c r="M547" s="7"/>
      <c r="N547" s="7"/>
      <c r="O547" s="7"/>
      <c r="P547" s="7"/>
      <c r="S547" s="33"/>
      <c r="T547" s="7"/>
      <c r="U547" s="7"/>
      <c r="V547" s="7"/>
      <c r="W547" s="7"/>
      <c r="X547" s="7"/>
    </row>
    <row r="548" spans="1:24" x14ac:dyDescent="0.25">
      <c r="A548" s="96"/>
      <c r="B548" s="96"/>
      <c r="C548" s="96"/>
      <c r="D548" s="7"/>
      <c r="E548" s="7"/>
      <c r="F548" s="7"/>
      <c r="G548" s="7"/>
      <c r="H548" s="7"/>
      <c r="I548" s="7"/>
      <c r="J548" s="36"/>
      <c r="K548" s="36"/>
      <c r="L548" s="7"/>
      <c r="M548" s="7"/>
      <c r="N548" s="7"/>
      <c r="O548" s="7"/>
      <c r="P548" s="7"/>
      <c r="S548" s="33"/>
      <c r="T548" s="7"/>
      <c r="U548" s="7"/>
      <c r="V548" s="7"/>
      <c r="W548" s="7"/>
      <c r="X548" s="7"/>
    </row>
    <row r="549" spans="1:24" x14ac:dyDescent="0.25">
      <c r="A549" s="96"/>
      <c r="B549" s="96"/>
      <c r="C549" s="96"/>
      <c r="D549" s="7"/>
      <c r="E549" s="7"/>
      <c r="F549" s="7"/>
      <c r="G549" s="7"/>
      <c r="H549" s="7"/>
      <c r="I549" s="7"/>
      <c r="J549" s="36"/>
      <c r="K549" s="36"/>
      <c r="L549" s="7"/>
      <c r="M549" s="7"/>
      <c r="N549" s="7"/>
      <c r="O549" s="7"/>
      <c r="P549" s="7"/>
      <c r="S549" s="33"/>
      <c r="T549" s="7"/>
      <c r="U549" s="7"/>
      <c r="V549" s="7"/>
      <c r="W549" s="7"/>
      <c r="X549" s="7"/>
    </row>
    <row r="550" spans="1:24" x14ac:dyDescent="0.25">
      <c r="A550" s="96"/>
      <c r="B550" s="96"/>
      <c r="C550" s="96"/>
      <c r="D550" s="7"/>
      <c r="E550" s="7"/>
      <c r="F550" s="7"/>
      <c r="G550" s="7"/>
      <c r="H550" s="7"/>
      <c r="I550" s="7"/>
      <c r="J550" s="36"/>
      <c r="K550" s="36"/>
      <c r="L550" s="7"/>
      <c r="M550" s="7"/>
      <c r="N550" s="7"/>
      <c r="O550" s="7"/>
      <c r="P550" s="7"/>
      <c r="S550" s="33"/>
      <c r="T550" s="7"/>
      <c r="U550" s="7"/>
      <c r="V550" s="7"/>
      <c r="W550" s="7"/>
      <c r="X550" s="7"/>
    </row>
    <row r="551" spans="1:24" x14ac:dyDescent="0.25">
      <c r="A551" s="96"/>
      <c r="B551" s="96"/>
      <c r="C551" s="96"/>
      <c r="D551" s="7"/>
      <c r="E551" s="7"/>
      <c r="F551" s="7"/>
      <c r="G551" s="7"/>
      <c r="H551" s="7"/>
      <c r="I551" s="7"/>
      <c r="J551" s="36"/>
      <c r="K551" s="36"/>
      <c r="L551" s="7"/>
      <c r="M551" s="7"/>
      <c r="N551" s="7"/>
      <c r="O551" s="7"/>
      <c r="P551" s="7"/>
      <c r="S551" s="33"/>
      <c r="T551" s="7"/>
      <c r="U551" s="7"/>
      <c r="V551" s="7"/>
      <c r="W551" s="7"/>
      <c r="X551" s="7"/>
    </row>
    <row r="552" spans="1:24" x14ac:dyDescent="0.25">
      <c r="A552" s="96"/>
      <c r="B552" s="96"/>
      <c r="C552" s="96"/>
      <c r="D552" s="7"/>
      <c r="E552" s="7"/>
      <c r="F552" s="7"/>
      <c r="G552" s="7"/>
      <c r="H552" s="7"/>
      <c r="I552" s="7"/>
      <c r="J552" s="36"/>
      <c r="K552" s="36"/>
      <c r="L552" s="7"/>
      <c r="M552" s="7"/>
      <c r="N552" s="7"/>
      <c r="O552" s="7"/>
      <c r="P552" s="7"/>
      <c r="S552" s="33"/>
      <c r="T552" s="7"/>
      <c r="U552" s="7"/>
      <c r="V552" s="7"/>
      <c r="W552" s="7"/>
      <c r="X552" s="7"/>
    </row>
    <row r="553" spans="1:24" x14ac:dyDescent="0.25">
      <c r="A553" s="96"/>
      <c r="B553" s="96"/>
      <c r="C553" s="96"/>
      <c r="D553" s="7"/>
      <c r="E553" s="7"/>
      <c r="F553" s="7"/>
      <c r="G553" s="7"/>
      <c r="H553" s="7"/>
      <c r="I553" s="7"/>
      <c r="J553" s="36"/>
      <c r="K553" s="36"/>
      <c r="L553" s="7"/>
      <c r="M553" s="7"/>
      <c r="N553" s="7"/>
      <c r="O553" s="7"/>
      <c r="P553" s="7"/>
      <c r="S553" s="33"/>
      <c r="T553" s="7"/>
      <c r="U553" s="7"/>
      <c r="V553" s="7"/>
      <c r="W553" s="7"/>
      <c r="X553" s="7"/>
    </row>
    <row r="554" spans="1:24" x14ac:dyDescent="0.25">
      <c r="A554" s="96"/>
      <c r="B554" s="96"/>
      <c r="C554" s="96"/>
      <c r="D554" s="7"/>
      <c r="E554" s="7"/>
      <c r="F554" s="7"/>
      <c r="G554" s="7"/>
      <c r="H554" s="7"/>
      <c r="I554" s="7"/>
      <c r="J554" s="36"/>
      <c r="K554" s="36"/>
      <c r="L554" s="7"/>
      <c r="M554" s="7"/>
      <c r="N554" s="7"/>
      <c r="O554" s="7"/>
      <c r="P554" s="7"/>
      <c r="S554" s="33"/>
      <c r="T554" s="7"/>
      <c r="U554" s="7"/>
      <c r="V554" s="7"/>
      <c r="W554" s="7"/>
      <c r="X554" s="7"/>
    </row>
    <row r="555" spans="1:24" x14ac:dyDescent="0.25">
      <c r="A555" s="96"/>
      <c r="B555" s="96"/>
      <c r="C555" s="96"/>
      <c r="D555" s="7"/>
      <c r="E555" s="7"/>
      <c r="F555" s="7"/>
      <c r="G555" s="7"/>
      <c r="H555" s="7"/>
      <c r="I555" s="7"/>
      <c r="J555" s="36"/>
      <c r="K555" s="36"/>
      <c r="L555" s="7"/>
      <c r="M555" s="7"/>
      <c r="N555" s="7"/>
      <c r="O555" s="7"/>
      <c r="P555" s="7"/>
      <c r="S555" s="33"/>
      <c r="T555" s="7"/>
      <c r="U555" s="7"/>
      <c r="V555" s="7"/>
      <c r="W555" s="7"/>
      <c r="X555" s="7"/>
    </row>
    <row r="556" spans="1:24" x14ac:dyDescent="0.25">
      <c r="A556" s="96"/>
      <c r="B556" s="96"/>
      <c r="C556" s="96"/>
      <c r="D556" s="7"/>
      <c r="E556" s="7"/>
      <c r="F556" s="7"/>
      <c r="G556" s="7"/>
      <c r="H556" s="7"/>
      <c r="I556" s="7"/>
      <c r="J556" s="36"/>
      <c r="K556" s="36"/>
      <c r="L556" s="7"/>
      <c r="M556" s="7"/>
      <c r="N556" s="7"/>
      <c r="O556" s="7"/>
      <c r="P556" s="7"/>
      <c r="S556" s="33"/>
      <c r="T556" s="7"/>
      <c r="U556" s="7"/>
      <c r="V556" s="7"/>
      <c r="W556" s="7"/>
      <c r="X556" s="7"/>
    </row>
    <row r="557" spans="1:24" x14ac:dyDescent="0.25">
      <c r="A557" s="96"/>
      <c r="B557" s="96"/>
      <c r="C557" s="96"/>
      <c r="D557" s="7"/>
      <c r="E557" s="7"/>
      <c r="F557" s="7"/>
      <c r="G557" s="7"/>
      <c r="H557" s="7"/>
      <c r="I557" s="7"/>
      <c r="J557" s="36"/>
      <c r="K557" s="36"/>
      <c r="L557" s="7"/>
      <c r="M557" s="7"/>
      <c r="N557" s="7"/>
      <c r="O557" s="7"/>
      <c r="P557" s="7"/>
      <c r="S557" s="33"/>
      <c r="T557" s="7"/>
      <c r="U557" s="7"/>
      <c r="V557" s="7"/>
      <c r="W557" s="7"/>
      <c r="X557" s="7"/>
    </row>
    <row r="558" spans="1:24" x14ac:dyDescent="0.25">
      <c r="A558" s="96"/>
      <c r="B558" s="96"/>
      <c r="C558" s="96"/>
      <c r="D558" s="7"/>
      <c r="E558" s="7"/>
      <c r="F558" s="7"/>
      <c r="G558" s="7"/>
      <c r="H558" s="7"/>
      <c r="I558" s="7"/>
      <c r="J558" s="36"/>
      <c r="K558" s="36"/>
      <c r="L558" s="7"/>
      <c r="M558" s="7"/>
      <c r="N558" s="7"/>
      <c r="O558" s="7"/>
      <c r="P558" s="7"/>
      <c r="S558" s="33"/>
      <c r="T558" s="7"/>
      <c r="U558" s="7"/>
      <c r="V558" s="7"/>
      <c r="W558" s="7"/>
      <c r="X558" s="7"/>
    </row>
    <row r="559" spans="1:24" x14ac:dyDescent="0.25">
      <c r="A559" s="96"/>
      <c r="B559" s="96"/>
      <c r="C559" s="96"/>
      <c r="D559" s="7"/>
      <c r="E559" s="7"/>
      <c r="F559" s="7"/>
      <c r="G559" s="7"/>
      <c r="H559" s="7"/>
      <c r="I559" s="7"/>
      <c r="J559" s="36"/>
      <c r="K559" s="36"/>
      <c r="L559" s="7"/>
      <c r="M559" s="7"/>
      <c r="N559" s="7"/>
      <c r="O559" s="7"/>
      <c r="P559" s="7"/>
      <c r="S559" s="33"/>
      <c r="T559" s="7"/>
      <c r="U559" s="7"/>
      <c r="V559" s="7"/>
      <c r="W559" s="7"/>
      <c r="X559" s="7"/>
    </row>
    <row r="560" spans="1:24" x14ac:dyDescent="0.25">
      <c r="A560" s="96"/>
      <c r="B560" s="96"/>
      <c r="C560" s="96"/>
      <c r="D560" s="7"/>
      <c r="E560" s="7"/>
      <c r="F560" s="7"/>
      <c r="G560" s="7"/>
      <c r="H560" s="7"/>
      <c r="I560" s="7"/>
      <c r="J560" s="36"/>
      <c r="K560" s="36"/>
      <c r="L560" s="7"/>
      <c r="M560" s="7"/>
      <c r="N560" s="7"/>
      <c r="O560" s="7"/>
      <c r="P560" s="7"/>
      <c r="S560" s="33"/>
      <c r="T560" s="7"/>
      <c r="U560" s="7"/>
      <c r="V560" s="7"/>
      <c r="W560" s="7"/>
      <c r="X560" s="7"/>
    </row>
    <row r="561" spans="1:24" x14ac:dyDescent="0.25">
      <c r="A561" s="96"/>
      <c r="B561" s="96"/>
      <c r="C561" s="96"/>
      <c r="D561" s="7"/>
      <c r="E561" s="7"/>
      <c r="F561" s="7"/>
      <c r="G561" s="7"/>
      <c r="H561" s="7"/>
      <c r="I561" s="7"/>
      <c r="J561" s="36"/>
      <c r="K561" s="36"/>
      <c r="L561" s="7"/>
      <c r="M561" s="7"/>
      <c r="N561" s="7"/>
      <c r="O561" s="7"/>
      <c r="P561" s="7"/>
      <c r="S561" s="33"/>
      <c r="T561" s="7"/>
      <c r="U561" s="7"/>
      <c r="V561" s="7"/>
      <c r="W561" s="7"/>
      <c r="X561" s="7"/>
    </row>
    <row r="562" spans="1:24" x14ac:dyDescent="0.25">
      <c r="A562" s="96"/>
      <c r="B562" s="96"/>
      <c r="C562" s="96"/>
      <c r="D562" s="7"/>
      <c r="E562" s="7"/>
      <c r="F562" s="7"/>
      <c r="G562" s="7"/>
      <c r="H562" s="7"/>
      <c r="I562" s="7"/>
      <c r="J562" s="36"/>
      <c r="K562" s="36"/>
      <c r="L562" s="7"/>
      <c r="M562" s="7"/>
      <c r="N562" s="7"/>
      <c r="O562" s="7"/>
      <c r="P562" s="7"/>
      <c r="S562" s="33"/>
      <c r="T562" s="7"/>
      <c r="U562" s="7"/>
      <c r="V562" s="7"/>
      <c r="W562" s="7"/>
      <c r="X562" s="7"/>
    </row>
    <row r="563" spans="1:24" x14ac:dyDescent="0.25">
      <c r="A563" s="96"/>
      <c r="B563" s="96"/>
      <c r="C563" s="96"/>
      <c r="D563" s="7"/>
      <c r="E563" s="7"/>
      <c r="F563" s="7"/>
      <c r="G563" s="7"/>
      <c r="H563" s="7"/>
      <c r="I563" s="7"/>
      <c r="J563" s="36"/>
      <c r="K563" s="36"/>
      <c r="L563" s="7"/>
      <c r="M563" s="7"/>
      <c r="N563" s="7"/>
      <c r="O563" s="7"/>
      <c r="P563" s="7"/>
      <c r="S563" s="33"/>
      <c r="T563" s="7"/>
      <c r="U563" s="7"/>
      <c r="V563" s="7"/>
      <c r="W563" s="7"/>
      <c r="X563" s="7"/>
    </row>
    <row r="564" spans="1:24" x14ac:dyDescent="0.25">
      <c r="A564" s="96"/>
      <c r="B564" s="96"/>
      <c r="C564" s="96"/>
      <c r="D564" s="7"/>
      <c r="E564" s="7"/>
      <c r="F564" s="7"/>
      <c r="G564" s="7"/>
      <c r="H564" s="7"/>
      <c r="I564" s="7"/>
      <c r="J564" s="36"/>
      <c r="K564" s="36"/>
      <c r="L564" s="7"/>
      <c r="M564" s="7"/>
      <c r="N564" s="7"/>
      <c r="O564" s="7"/>
      <c r="P564" s="7"/>
      <c r="S564" s="33"/>
      <c r="T564" s="7"/>
      <c r="U564" s="7"/>
      <c r="V564" s="7"/>
      <c r="W564" s="7"/>
      <c r="X564" s="7"/>
    </row>
    <row r="565" spans="1:24" x14ac:dyDescent="0.25">
      <c r="A565" s="96"/>
      <c r="B565" s="96"/>
      <c r="C565" s="96"/>
      <c r="D565" s="7"/>
      <c r="E565" s="7"/>
      <c r="F565" s="7"/>
      <c r="G565" s="7"/>
      <c r="H565" s="7"/>
      <c r="I565" s="7"/>
      <c r="J565" s="36"/>
      <c r="K565" s="36"/>
      <c r="L565" s="7"/>
      <c r="M565" s="7"/>
      <c r="N565" s="7"/>
      <c r="O565" s="7"/>
      <c r="P565" s="7"/>
      <c r="S565" s="33"/>
      <c r="T565" s="7"/>
      <c r="U565" s="7"/>
      <c r="V565" s="7"/>
      <c r="W565" s="7"/>
      <c r="X565" s="7"/>
    </row>
    <row r="566" spans="1:24" x14ac:dyDescent="0.25">
      <c r="A566" s="96"/>
      <c r="B566" s="96"/>
      <c r="C566" s="96"/>
      <c r="D566" s="7"/>
      <c r="E566" s="7"/>
      <c r="F566" s="7"/>
      <c r="G566" s="7"/>
      <c r="H566" s="7"/>
      <c r="I566" s="7"/>
      <c r="J566" s="36"/>
      <c r="K566" s="36"/>
      <c r="L566" s="7"/>
      <c r="M566" s="7"/>
      <c r="N566" s="7"/>
      <c r="O566" s="7"/>
      <c r="P566" s="7"/>
      <c r="S566" s="33"/>
      <c r="T566" s="7"/>
      <c r="U566" s="7"/>
      <c r="V566" s="7"/>
      <c r="W566" s="7"/>
      <c r="X566" s="7"/>
    </row>
    <row r="567" spans="1:24" x14ac:dyDescent="0.25">
      <c r="A567" s="96"/>
      <c r="B567" s="96"/>
      <c r="C567" s="96"/>
      <c r="D567" s="7"/>
      <c r="E567" s="7"/>
      <c r="F567" s="7"/>
      <c r="G567" s="7"/>
      <c r="H567" s="7"/>
      <c r="I567" s="7"/>
      <c r="J567" s="36"/>
      <c r="K567" s="36"/>
      <c r="L567" s="7"/>
      <c r="M567" s="7"/>
      <c r="N567" s="7"/>
      <c r="O567" s="7"/>
      <c r="P567" s="7"/>
      <c r="S567" s="33"/>
      <c r="T567" s="7"/>
      <c r="U567" s="7"/>
      <c r="V567" s="7"/>
      <c r="W567" s="7"/>
      <c r="X567" s="7"/>
    </row>
    <row r="568" spans="1:24" x14ac:dyDescent="0.25">
      <c r="A568" s="96"/>
      <c r="B568" s="96"/>
      <c r="C568" s="96"/>
      <c r="D568" s="7"/>
      <c r="E568" s="7"/>
      <c r="F568" s="7"/>
      <c r="G568" s="7"/>
      <c r="H568" s="7"/>
      <c r="I568" s="7"/>
      <c r="J568" s="36"/>
      <c r="K568" s="36"/>
      <c r="L568" s="7"/>
      <c r="M568" s="7"/>
      <c r="N568" s="7"/>
      <c r="O568" s="7"/>
      <c r="P568" s="7"/>
      <c r="S568" s="33"/>
      <c r="T568" s="7"/>
      <c r="U568" s="7"/>
      <c r="V568" s="7"/>
      <c r="W568" s="7"/>
      <c r="X568" s="7"/>
    </row>
    <row r="569" spans="1:24" x14ac:dyDescent="0.25">
      <c r="A569" s="96"/>
      <c r="B569" s="96"/>
      <c r="C569" s="96"/>
      <c r="D569" s="7"/>
      <c r="E569" s="7"/>
      <c r="F569" s="7"/>
      <c r="G569" s="7"/>
      <c r="H569" s="7"/>
      <c r="I569" s="7"/>
      <c r="J569" s="36"/>
      <c r="K569" s="36"/>
      <c r="L569" s="7"/>
      <c r="M569" s="7"/>
      <c r="N569" s="7"/>
      <c r="O569" s="7"/>
      <c r="P569" s="7"/>
      <c r="S569" s="33"/>
      <c r="T569" s="7"/>
      <c r="U569" s="7"/>
      <c r="V569" s="7"/>
      <c r="W569" s="7"/>
      <c r="X569" s="7"/>
    </row>
    <row r="570" spans="1:24" x14ac:dyDescent="0.25">
      <c r="A570" s="96"/>
      <c r="B570" s="96"/>
      <c r="C570" s="96"/>
      <c r="D570" s="7"/>
      <c r="E570" s="7"/>
      <c r="F570" s="7"/>
      <c r="G570" s="7"/>
      <c r="H570" s="7"/>
      <c r="I570" s="7"/>
      <c r="J570" s="36"/>
      <c r="K570" s="36"/>
      <c r="L570" s="7"/>
      <c r="M570" s="7"/>
      <c r="N570" s="7"/>
      <c r="O570" s="7"/>
      <c r="P570" s="7"/>
      <c r="S570" s="33"/>
      <c r="T570" s="7"/>
      <c r="U570" s="7"/>
      <c r="V570" s="7"/>
      <c r="W570" s="7"/>
      <c r="X570" s="7"/>
    </row>
    <row r="571" spans="1:24" x14ac:dyDescent="0.25">
      <c r="A571" s="96"/>
      <c r="B571" s="96"/>
      <c r="C571" s="96"/>
      <c r="D571" s="7"/>
      <c r="E571" s="7"/>
      <c r="F571" s="7"/>
      <c r="G571" s="7"/>
      <c r="H571" s="7"/>
      <c r="I571" s="7"/>
      <c r="J571" s="36"/>
      <c r="K571" s="36"/>
      <c r="L571" s="7"/>
      <c r="M571" s="7"/>
      <c r="N571" s="7"/>
      <c r="O571" s="7"/>
      <c r="P571" s="7"/>
      <c r="S571" s="33"/>
      <c r="T571" s="7"/>
      <c r="U571" s="7"/>
      <c r="V571" s="7"/>
      <c r="W571" s="7"/>
      <c r="X571" s="7"/>
    </row>
    <row r="572" spans="1:24" x14ac:dyDescent="0.25">
      <c r="A572" s="96"/>
      <c r="B572" s="96"/>
      <c r="C572" s="96"/>
      <c r="D572" s="7"/>
      <c r="E572" s="7"/>
      <c r="F572" s="7"/>
      <c r="G572" s="7"/>
      <c r="H572" s="7"/>
      <c r="I572" s="7"/>
      <c r="J572" s="36"/>
      <c r="K572" s="36"/>
      <c r="L572" s="7"/>
      <c r="M572" s="7"/>
      <c r="N572" s="7"/>
      <c r="O572" s="7"/>
      <c r="P572" s="7"/>
      <c r="S572" s="33"/>
      <c r="T572" s="7"/>
      <c r="U572" s="7"/>
      <c r="V572" s="7"/>
      <c r="W572" s="7"/>
      <c r="X572" s="7"/>
    </row>
    <row r="573" spans="1:24" x14ac:dyDescent="0.25">
      <c r="A573" s="96"/>
      <c r="B573" s="96"/>
      <c r="C573" s="96"/>
      <c r="D573" s="7"/>
      <c r="E573" s="7"/>
      <c r="F573" s="7"/>
      <c r="G573" s="7"/>
      <c r="H573" s="7"/>
      <c r="I573" s="7"/>
      <c r="J573" s="36"/>
      <c r="K573" s="36"/>
      <c r="L573" s="7"/>
      <c r="M573" s="7"/>
      <c r="N573" s="7"/>
      <c r="O573" s="7"/>
      <c r="P573" s="7"/>
      <c r="S573" s="33"/>
      <c r="T573" s="7"/>
      <c r="U573" s="7"/>
      <c r="V573" s="7"/>
      <c r="W573" s="7"/>
      <c r="X573" s="7"/>
    </row>
    <row r="574" spans="1:24" x14ac:dyDescent="0.25">
      <c r="A574" s="96"/>
      <c r="B574" s="96"/>
      <c r="C574" s="96"/>
      <c r="D574" s="7"/>
      <c r="E574" s="7"/>
      <c r="F574" s="7"/>
      <c r="G574" s="7"/>
      <c r="H574" s="7"/>
      <c r="I574" s="7"/>
      <c r="J574" s="36"/>
      <c r="K574" s="36"/>
      <c r="L574" s="7"/>
      <c r="M574" s="7"/>
      <c r="N574" s="7"/>
      <c r="O574" s="7"/>
      <c r="P574" s="7"/>
      <c r="S574" s="33"/>
      <c r="T574" s="7"/>
      <c r="U574" s="7"/>
      <c r="V574" s="7"/>
      <c r="W574" s="7"/>
      <c r="X574" s="7"/>
    </row>
    <row r="575" spans="1:24" x14ac:dyDescent="0.25">
      <c r="A575" s="96"/>
      <c r="B575" s="96"/>
      <c r="C575" s="96"/>
      <c r="D575" s="7"/>
      <c r="E575" s="7"/>
      <c r="F575" s="7"/>
      <c r="G575" s="7"/>
      <c r="H575" s="7"/>
      <c r="I575" s="7"/>
      <c r="J575" s="36"/>
      <c r="K575" s="36"/>
      <c r="L575" s="7"/>
      <c r="M575" s="7"/>
      <c r="N575" s="7"/>
      <c r="O575" s="7"/>
      <c r="P575" s="7"/>
      <c r="S575" s="33"/>
      <c r="T575" s="7"/>
      <c r="U575" s="7"/>
      <c r="V575" s="7"/>
      <c r="W575" s="7"/>
      <c r="X575" s="7"/>
    </row>
    <row r="576" spans="1:24" x14ac:dyDescent="0.25">
      <c r="A576" s="96"/>
      <c r="B576" s="96"/>
      <c r="C576" s="96"/>
      <c r="J576" s="36"/>
      <c r="K576" s="36"/>
      <c r="L576" s="7"/>
      <c r="M576" s="7"/>
      <c r="N576" s="7"/>
      <c r="O576" s="7"/>
      <c r="P576" s="7"/>
      <c r="S576" s="33"/>
      <c r="T576" s="7"/>
      <c r="U576" s="7"/>
      <c r="V576" s="7"/>
      <c r="W576" s="7"/>
      <c r="X576" s="7"/>
    </row>
    <row r="577" spans="1:24" x14ac:dyDescent="0.25">
      <c r="A577" s="96"/>
      <c r="B577" s="96"/>
      <c r="C577" s="96"/>
      <c r="J577" s="36"/>
      <c r="K577" s="36"/>
      <c r="L577" s="7"/>
      <c r="M577" s="7"/>
      <c r="N577" s="7"/>
      <c r="O577" s="7"/>
      <c r="P577" s="7"/>
      <c r="S577" s="33"/>
      <c r="T577" s="7"/>
      <c r="U577" s="7"/>
      <c r="V577" s="7"/>
      <c r="W577" s="7"/>
      <c r="X577" s="7"/>
    </row>
    <row r="578" spans="1:24" x14ac:dyDescent="0.25">
      <c r="A578" s="96"/>
      <c r="B578" s="96"/>
      <c r="C578" s="96"/>
      <c r="J578" s="36"/>
      <c r="K578" s="36"/>
      <c r="L578" s="7"/>
      <c r="M578" s="7"/>
      <c r="N578" s="7"/>
      <c r="O578" s="7"/>
      <c r="P578" s="7"/>
      <c r="S578" s="33"/>
      <c r="T578" s="7"/>
      <c r="U578" s="7"/>
      <c r="V578" s="7"/>
      <c r="W578" s="7"/>
      <c r="X578" s="7"/>
    </row>
    <row r="579" spans="1:24" x14ac:dyDescent="0.25">
      <c r="A579" s="96"/>
      <c r="B579" s="96"/>
      <c r="C579" s="96"/>
      <c r="J579" s="36"/>
      <c r="K579" s="36"/>
      <c r="L579" s="7"/>
      <c r="M579" s="7"/>
      <c r="N579" s="7"/>
      <c r="O579" s="7"/>
      <c r="P579" s="7"/>
      <c r="S579" s="33"/>
      <c r="T579" s="7"/>
      <c r="U579" s="7"/>
      <c r="V579" s="7"/>
      <c r="W579" s="7"/>
      <c r="X579" s="7"/>
    </row>
    <row r="580" spans="1:24" x14ac:dyDescent="0.25">
      <c r="A580" s="96"/>
      <c r="B580" s="96"/>
      <c r="C580" s="96"/>
      <c r="J580" s="36"/>
      <c r="K580" s="36"/>
      <c r="L580" s="7"/>
      <c r="M580" s="7"/>
      <c r="N580" s="7"/>
      <c r="O580" s="7"/>
      <c r="P580" s="7"/>
      <c r="S580" s="33"/>
      <c r="T580" s="7"/>
      <c r="U580" s="7"/>
      <c r="V580" s="7"/>
      <c r="W580" s="7"/>
      <c r="X580" s="7"/>
    </row>
    <row r="581" spans="1:24" x14ac:dyDescent="0.25">
      <c r="A581" s="96"/>
      <c r="B581" s="96"/>
      <c r="C581" s="96"/>
      <c r="J581" s="36"/>
      <c r="K581" s="36"/>
      <c r="L581" s="7"/>
      <c r="M581" s="7"/>
      <c r="N581" s="7"/>
      <c r="O581" s="7"/>
      <c r="P581" s="7"/>
      <c r="S581" s="33"/>
      <c r="T581" s="7"/>
      <c r="U581" s="7"/>
      <c r="V581" s="7"/>
      <c r="W581" s="7"/>
      <c r="X581" s="7"/>
    </row>
    <row r="582" spans="1:24" x14ac:dyDescent="0.25">
      <c r="A582" s="96"/>
      <c r="B582" s="96"/>
      <c r="C582" s="96"/>
      <c r="J582" s="36"/>
      <c r="K582" s="36"/>
      <c r="L582" s="7"/>
      <c r="M582" s="7"/>
      <c r="N582" s="7"/>
      <c r="O582" s="7"/>
      <c r="P582" s="7"/>
      <c r="S582" s="33"/>
      <c r="T582" s="7"/>
      <c r="U582" s="7"/>
      <c r="V582" s="7"/>
      <c r="W582" s="7"/>
      <c r="X582" s="7"/>
    </row>
    <row r="583" spans="1:24" x14ac:dyDescent="0.25">
      <c r="A583" s="96"/>
      <c r="B583" s="96"/>
      <c r="C583" s="96"/>
      <c r="J583" s="36"/>
      <c r="K583" s="36"/>
      <c r="L583" s="7"/>
      <c r="M583" s="7"/>
      <c r="N583" s="7"/>
      <c r="O583" s="7"/>
      <c r="P583" s="7"/>
      <c r="S583" s="33"/>
      <c r="T583" s="7"/>
      <c r="U583" s="7"/>
      <c r="V583" s="7"/>
      <c r="W583" s="7"/>
      <c r="X583" s="7"/>
    </row>
    <row r="584" spans="1:24" x14ac:dyDescent="0.25">
      <c r="A584" s="96"/>
      <c r="B584" s="96"/>
      <c r="C584" s="96"/>
      <c r="D584" s="34"/>
      <c r="J584" s="36"/>
      <c r="K584" s="36"/>
      <c r="L584" s="7"/>
      <c r="M584" s="7"/>
      <c r="N584" s="7"/>
      <c r="O584" s="7"/>
      <c r="P584" s="7"/>
      <c r="S584" s="33"/>
      <c r="T584" s="7"/>
      <c r="U584" s="7"/>
      <c r="V584" s="7"/>
      <c r="W584" s="7"/>
      <c r="X584" s="7"/>
    </row>
    <row r="585" spans="1:24" x14ac:dyDescent="0.25">
      <c r="A585" s="96"/>
      <c r="B585" s="96"/>
      <c r="C585" s="96"/>
      <c r="D585" s="34"/>
      <c r="J585" s="36"/>
      <c r="K585" s="36"/>
      <c r="L585" s="7"/>
      <c r="M585" s="7"/>
      <c r="N585" s="7"/>
      <c r="O585" s="7"/>
      <c r="P585" s="7"/>
      <c r="S585" s="33"/>
      <c r="T585" s="7"/>
      <c r="U585" s="7"/>
      <c r="V585" s="7"/>
      <c r="W585" s="7"/>
      <c r="X585" s="7"/>
    </row>
    <row r="586" spans="1:24" x14ac:dyDescent="0.25">
      <c r="A586" s="96"/>
      <c r="B586" s="96"/>
      <c r="C586" s="96"/>
      <c r="D586" s="34"/>
      <c r="J586" s="36"/>
      <c r="K586" s="36"/>
      <c r="L586" s="7"/>
      <c r="M586" s="7"/>
      <c r="N586" s="7"/>
      <c r="O586" s="7"/>
      <c r="P586" s="7"/>
      <c r="S586" s="33"/>
      <c r="T586" s="7"/>
      <c r="U586" s="7"/>
      <c r="V586" s="7"/>
      <c r="W586" s="7"/>
      <c r="X586" s="7"/>
    </row>
    <row r="587" spans="1:24" x14ac:dyDescent="0.25">
      <c r="A587" s="96"/>
      <c r="B587" s="96"/>
      <c r="C587" s="96"/>
      <c r="D587" s="34"/>
      <c r="J587" s="36"/>
      <c r="K587" s="36"/>
      <c r="L587" s="7"/>
      <c r="M587" s="7"/>
      <c r="N587" s="7"/>
      <c r="O587" s="7"/>
      <c r="P587" s="7"/>
      <c r="S587" s="33"/>
      <c r="T587" s="7"/>
      <c r="U587" s="7"/>
      <c r="V587" s="7"/>
      <c r="W587" s="7"/>
      <c r="X587" s="7"/>
    </row>
    <row r="588" spans="1:24" x14ac:dyDescent="0.25">
      <c r="A588" s="96"/>
      <c r="B588" s="96"/>
      <c r="C588" s="96"/>
      <c r="J588" s="36"/>
      <c r="K588" s="36"/>
      <c r="L588" s="7"/>
      <c r="M588" s="7"/>
      <c r="N588" s="7"/>
      <c r="O588" s="7"/>
      <c r="P588" s="7"/>
      <c r="S588" s="33"/>
      <c r="T588" s="7"/>
      <c r="U588" s="7"/>
      <c r="V588" s="7"/>
      <c r="W588" s="7"/>
      <c r="X588" s="7"/>
    </row>
    <row r="589" spans="1:24" x14ac:dyDescent="0.25">
      <c r="A589" s="116"/>
      <c r="B589" s="116"/>
      <c r="C589" s="116"/>
    </row>
    <row r="590" spans="1:24" x14ac:dyDescent="0.25">
      <c r="A590" s="96"/>
      <c r="B590" s="96"/>
      <c r="C590" s="96"/>
      <c r="J590" s="36"/>
      <c r="K590" s="36"/>
      <c r="L590" s="7"/>
      <c r="M590" s="7"/>
      <c r="N590" s="7"/>
      <c r="O590" s="7"/>
      <c r="P590" s="7"/>
      <c r="S590" s="33"/>
      <c r="T590" s="7"/>
      <c r="U590" s="7"/>
      <c r="V590" s="7"/>
      <c r="W590" s="7"/>
      <c r="X590" s="7"/>
    </row>
    <row r="591" spans="1:24" x14ac:dyDescent="0.25">
      <c r="A591" s="96"/>
      <c r="B591" s="96"/>
      <c r="C591" s="96"/>
      <c r="J591" s="36"/>
      <c r="K591" s="36"/>
      <c r="L591" s="7"/>
      <c r="M591" s="7"/>
      <c r="N591" s="7"/>
      <c r="O591" s="7"/>
      <c r="P591" s="7"/>
      <c r="S591" s="33"/>
      <c r="T591" s="7"/>
      <c r="U591" s="7"/>
      <c r="V591" s="7"/>
      <c r="W591" s="7"/>
      <c r="X591" s="7"/>
    </row>
    <row r="592" spans="1:24" x14ac:dyDescent="0.25">
      <c r="A592" s="116"/>
      <c r="B592" s="116"/>
      <c r="C592" s="116"/>
      <c r="J592" s="36"/>
      <c r="K592" s="36"/>
      <c r="L592" s="7"/>
      <c r="M592" s="7"/>
      <c r="N592" s="7"/>
      <c r="O592" s="7"/>
      <c r="P592" s="7"/>
      <c r="S592" s="33"/>
      <c r="T592" s="7"/>
      <c r="U592" s="7"/>
      <c r="V592" s="7"/>
      <c r="W592" s="7"/>
      <c r="X592" s="7"/>
    </row>
    <row r="593" spans="1:24" x14ac:dyDescent="0.25">
      <c r="A593" s="116"/>
      <c r="B593" s="116"/>
      <c r="C593" s="116"/>
      <c r="J593" s="36"/>
      <c r="K593" s="36"/>
      <c r="L593" s="7"/>
      <c r="M593" s="7"/>
      <c r="N593" s="7"/>
      <c r="O593" s="7"/>
      <c r="P593" s="7"/>
      <c r="S593" s="33"/>
      <c r="T593" s="7"/>
      <c r="U593" s="7"/>
      <c r="V593" s="7"/>
      <c r="W593" s="7"/>
      <c r="X593" s="7"/>
    </row>
    <row r="594" spans="1:24" x14ac:dyDescent="0.25">
      <c r="A594" s="116"/>
      <c r="B594" s="116"/>
      <c r="C594" s="116"/>
      <c r="J594" s="36"/>
      <c r="K594" s="36"/>
      <c r="L594" s="7"/>
      <c r="M594" s="7"/>
      <c r="N594" s="7"/>
      <c r="O594" s="7"/>
      <c r="P594" s="7"/>
      <c r="S594" s="33"/>
      <c r="T594" s="7"/>
      <c r="U594" s="7"/>
      <c r="V594" s="7"/>
      <c r="W594" s="7"/>
      <c r="X594" s="7"/>
    </row>
    <row r="595" spans="1:24" x14ac:dyDescent="0.25">
      <c r="A595" s="116" t="s">
        <v>387</v>
      </c>
      <c r="B595" s="116"/>
      <c r="C595" s="116"/>
      <c r="J595" s="36"/>
      <c r="K595" s="36"/>
      <c r="L595" s="7"/>
      <c r="M595" s="7"/>
      <c r="N595" s="7"/>
      <c r="O595" s="7"/>
      <c r="P595" s="7"/>
      <c r="S595" s="33"/>
      <c r="T595" s="7"/>
      <c r="U595" s="7"/>
      <c r="V595" s="7"/>
      <c r="W595" s="7"/>
      <c r="X595" s="7"/>
    </row>
  </sheetData>
  <sheetProtection sort="0" autoFilter="0"/>
  <mergeCells count="5">
    <mergeCell ref="A1:Y1"/>
    <mergeCell ref="A2:X2"/>
    <mergeCell ref="A3:X3"/>
    <mergeCell ref="J5:L5"/>
    <mergeCell ref="T5:W5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40" orientation="landscape" r:id="rId1"/>
  <headerFooter alignWithMargins="0"/>
  <colBreaks count="1" manualBreakCount="1">
    <brk id="2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W145"/>
  <sheetViews>
    <sheetView zoomScaleNormal="100" workbookViewId="0">
      <pane xSplit="2" ySplit="7" topLeftCell="L80" activePane="bottomRight" state="frozen"/>
      <selection sqref="A1:T2"/>
      <selection pane="topRight" sqref="A1:T2"/>
      <selection pane="bottomLeft" sqref="A1:T2"/>
      <selection pane="bottomRight" activeCell="B93" sqref="B93"/>
    </sheetView>
  </sheetViews>
  <sheetFormatPr baseColWidth="10" defaultRowHeight="12.75" x14ac:dyDescent="0.2"/>
  <cols>
    <col min="1" max="1" width="9.140625" style="425" customWidth="1"/>
    <col min="2" max="2" width="47.85546875" style="425" customWidth="1"/>
    <col min="3" max="3" width="13.140625" style="425" customWidth="1"/>
    <col min="4" max="4" width="19.140625" style="425" customWidth="1"/>
    <col min="5" max="5" width="11.7109375" style="425" customWidth="1"/>
    <col min="6" max="6" width="31.5703125" style="425" customWidth="1"/>
    <col min="7" max="7" width="12" style="425" bestFit="1" customWidth="1"/>
    <col min="8" max="8" width="5.5703125" style="425" customWidth="1"/>
    <col min="9" max="9" width="6.140625" style="425" customWidth="1"/>
    <col min="10" max="10" width="6.5703125" style="425" customWidth="1"/>
    <col min="11" max="11" width="14.28515625" style="425" customWidth="1"/>
    <col min="12" max="12" width="13.7109375" style="473" customWidth="1"/>
    <col min="13" max="13" width="14.140625" style="425" customWidth="1"/>
    <col min="14" max="14" width="14" style="425" customWidth="1"/>
    <col min="15" max="16" width="11.5703125" style="425" bestFit="1" customWidth="1"/>
    <col min="17" max="17" width="12.7109375" style="425" customWidth="1"/>
    <col min="18" max="19" width="12.5703125" style="425" customWidth="1"/>
    <col min="20" max="20" width="14.28515625" style="425" customWidth="1"/>
    <col min="21" max="21" width="13" style="425" customWidth="1"/>
    <col min="22" max="16384" width="11.42578125" style="425"/>
  </cols>
  <sheetData>
    <row r="2" spans="1:23" ht="20.25" x14ac:dyDescent="0.3">
      <c r="A2" s="670" t="s">
        <v>0</v>
      </c>
      <c r="B2" s="670"/>
      <c r="C2" s="670"/>
      <c r="D2" s="670"/>
      <c r="E2" s="670"/>
      <c r="F2" s="670"/>
      <c r="G2" s="670"/>
      <c r="H2" s="670"/>
      <c r="I2" s="670"/>
      <c r="J2" s="670"/>
      <c r="K2" s="670"/>
      <c r="L2" s="670"/>
      <c r="M2" s="670"/>
      <c r="N2" s="670"/>
      <c r="O2" s="670"/>
      <c r="P2" s="670"/>
      <c r="Q2" s="670"/>
      <c r="R2" s="670"/>
      <c r="S2" s="670"/>
      <c r="T2" s="670"/>
      <c r="U2" s="670"/>
      <c r="W2" s="372"/>
    </row>
    <row r="3" spans="1:23" ht="20.25" x14ac:dyDescent="0.3">
      <c r="A3" s="671" t="s">
        <v>2501</v>
      </c>
      <c r="B3" s="671"/>
      <c r="C3" s="671"/>
      <c r="D3" s="671"/>
      <c r="E3" s="671"/>
      <c r="F3" s="671"/>
      <c r="G3" s="671"/>
      <c r="H3" s="671"/>
      <c r="I3" s="671"/>
      <c r="J3" s="671"/>
      <c r="K3" s="671"/>
      <c r="L3" s="671"/>
      <c r="M3" s="671"/>
      <c r="N3" s="671"/>
      <c r="O3" s="671"/>
      <c r="P3" s="671"/>
      <c r="Q3" s="671"/>
      <c r="R3" s="671"/>
      <c r="S3" s="671"/>
      <c r="T3" s="671"/>
      <c r="U3" s="671"/>
      <c r="W3" s="372"/>
    </row>
    <row r="4" spans="1:23" x14ac:dyDescent="0.2">
      <c r="A4" s="674" t="str">
        <f>'Equipos de Producción'!A3:S3</f>
        <v>(Al 31 de Enero del 2016)</v>
      </c>
      <c r="B4" s="674"/>
      <c r="C4" s="674"/>
      <c r="D4" s="674"/>
      <c r="E4" s="674"/>
      <c r="F4" s="674"/>
      <c r="G4" s="674"/>
      <c r="H4" s="674"/>
      <c r="I4" s="674"/>
      <c r="J4" s="674"/>
      <c r="K4" s="674"/>
      <c r="L4" s="674"/>
      <c r="M4" s="674"/>
      <c r="N4" s="674"/>
      <c r="O4" s="674"/>
      <c r="P4" s="674"/>
      <c r="Q4" s="674"/>
      <c r="R4" s="674"/>
      <c r="S4" s="674"/>
      <c r="T4" s="674"/>
      <c r="U4" s="674"/>
      <c r="W4" s="372"/>
    </row>
    <row r="5" spans="1:23" ht="15.75" x14ac:dyDescent="0.25">
      <c r="A5" s="420"/>
      <c r="B5" s="420"/>
      <c r="C5" s="420"/>
      <c r="D5" s="420"/>
      <c r="E5" s="420"/>
      <c r="F5" s="420"/>
      <c r="G5" s="446"/>
      <c r="H5" s="420"/>
      <c r="I5" s="420"/>
      <c r="J5" s="420"/>
      <c r="K5" s="420"/>
      <c r="L5" s="4"/>
      <c r="M5" s="420"/>
      <c r="N5" s="420"/>
      <c r="O5" s="420"/>
      <c r="P5" s="446"/>
      <c r="Q5" s="446"/>
      <c r="R5" s="420"/>
      <c r="S5" s="420"/>
      <c r="T5" s="420"/>
      <c r="U5" s="420"/>
      <c r="W5" s="121">
        <f>'Equipos de Producción'!$W$4</f>
        <v>42400</v>
      </c>
    </row>
    <row r="6" spans="1:23" s="78" customFormat="1" ht="15.75" x14ac:dyDescent="0.25">
      <c r="A6" s="4"/>
      <c r="B6" s="4"/>
      <c r="C6" s="4"/>
      <c r="D6" s="4"/>
      <c r="E6" s="4"/>
      <c r="F6" s="4"/>
      <c r="G6" s="4"/>
      <c r="H6" s="667" t="s">
        <v>818</v>
      </c>
      <c r="I6" s="668"/>
      <c r="J6" s="669"/>
      <c r="K6" s="4"/>
      <c r="L6" s="4"/>
      <c r="M6" s="4"/>
      <c r="N6" s="447"/>
      <c r="O6" s="7"/>
      <c r="P6" s="660" t="s">
        <v>3</v>
      </c>
      <c r="Q6" s="661"/>
      <c r="R6" s="661"/>
      <c r="S6" s="662"/>
      <c r="T6" s="6"/>
      <c r="U6" s="7"/>
      <c r="W6" s="45"/>
    </row>
    <row r="7" spans="1:23" s="78" customFormat="1" ht="32.25" customHeight="1" x14ac:dyDescent="0.25">
      <c r="A7" s="448" t="s">
        <v>4</v>
      </c>
      <c r="B7" s="448" t="s">
        <v>7</v>
      </c>
      <c r="C7" s="448" t="s">
        <v>8</v>
      </c>
      <c r="D7" s="448" t="s">
        <v>9</v>
      </c>
      <c r="E7" s="448" t="s">
        <v>10</v>
      </c>
      <c r="F7" s="448" t="s">
        <v>11</v>
      </c>
      <c r="G7" s="448" t="s">
        <v>12</v>
      </c>
      <c r="H7" s="449" t="s">
        <v>13</v>
      </c>
      <c r="I7" s="449" t="s">
        <v>14</v>
      </c>
      <c r="J7" s="450" t="s">
        <v>15</v>
      </c>
      <c r="K7" s="448" t="s">
        <v>16</v>
      </c>
      <c r="L7" s="451" t="s">
        <v>17</v>
      </c>
      <c r="M7" s="448" t="s">
        <v>18</v>
      </c>
      <c r="N7" s="452" t="s">
        <v>19</v>
      </c>
      <c r="O7" s="448" t="s">
        <v>21</v>
      </c>
      <c r="P7" s="9" t="s">
        <v>22</v>
      </c>
      <c r="Q7" s="10" t="str">
        <f>+'Equipos de Producción'!$R$6</f>
        <v>Acumulada Diciembre 2015</v>
      </c>
      <c r="R7" s="10" t="str">
        <f>+'Equipos de Producción'!$S$6</f>
        <v>Acumulada Enero 2016</v>
      </c>
      <c r="S7" s="10" t="str">
        <f>+'Equipos de Producción'!$T$6</f>
        <v>Deprec. a Registrar Enero 2016</v>
      </c>
      <c r="T7" s="129" t="s">
        <v>23</v>
      </c>
      <c r="U7" s="448" t="s">
        <v>24</v>
      </c>
      <c r="W7" s="387" t="s">
        <v>25</v>
      </c>
    </row>
    <row r="8" spans="1:23" s="442" customFormat="1" ht="15.75" x14ac:dyDescent="0.25">
      <c r="B8" s="453" t="s">
        <v>2502</v>
      </c>
      <c r="F8" s="442" t="s">
        <v>2503</v>
      </c>
      <c r="G8" s="132" t="str">
        <f t="shared" ref="G8:G64" si="0">CONCATENATE(H8,"/",I8,"/",J8,)</f>
        <v>20/5/2008</v>
      </c>
      <c r="H8" s="442">
        <v>20</v>
      </c>
      <c r="I8" s="442">
        <v>5</v>
      </c>
      <c r="J8" s="442">
        <v>2008</v>
      </c>
      <c r="K8" s="442" t="s">
        <v>1817</v>
      </c>
      <c r="L8" s="83">
        <v>18</v>
      </c>
      <c r="M8" s="442" t="s">
        <v>2504</v>
      </c>
      <c r="N8" s="454">
        <v>9025.9599999999991</v>
      </c>
      <c r="O8" s="442">
        <v>5</v>
      </c>
      <c r="P8" s="30">
        <v>0</v>
      </c>
      <c r="Q8" s="30">
        <v>9024.9599999999991</v>
      </c>
      <c r="R8" s="30">
        <v>9024.9599999999973</v>
      </c>
      <c r="S8" s="15">
        <f>R8-Q8</f>
        <v>0</v>
      </c>
      <c r="T8" s="455">
        <f>N8-R8</f>
        <v>1.000000000001819</v>
      </c>
      <c r="U8" s="442">
        <v>11034</v>
      </c>
      <c r="W8" s="44">
        <f>IF((DATEDIF(G8,W$5,"m"))&gt;=60,60,(DATEDIF(G8,W$5,"m")))</f>
        <v>60</v>
      </c>
    </row>
    <row r="9" spans="1:23" s="442" customFormat="1" ht="15.75" x14ac:dyDescent="0.25">
      <c r="B9" s="453" t="s">
        <v>2502</v>
      </c>
      <c r="F9" s="442" t="s">
        <v>2503</v>
      </c>
      <c r="G9" s="132" t="str">
        <f t="shared" si="0"/>
        <v>20/5/2008</v>
      </c>
      <c r="H9" s="442">
        <v>20</v>
      </c>
      <c r="I9" s="442">
        <v>5</v>
      </c>
      <c r="J9" s="442">
        <v>2008</v>
      </c>
      <c r="K9" s="442" t="s">
        <v>1817</v>
      </c>
      <c r="L9" s="83">
        <v>18</v>
      </c>
      <c r="M9" s="442" t="s">
        <v>2504</v>
      </c>
      <c r="N9" s="454">
        <v>9025.9599999999991</v>
      </c>
      <c r="O9" s="442">
        <v>5</v>
      </c>
      <c r="P9" s="30">
        <v>0</v>
      </c>
      <c r="Q9" s="30">
        <v>9024.9599999999973</v>
      </c>
      <c r="R9" s="30">
        <v>9024.9599999999973</v>
      </c>
      <c r="S9" s="15">
        <f>R9-Q9</f>
        <v>0</v>
      </c>
      <c r="T9" s="455">
        <f t="shared" ref="T9:T51" si="1">N9-R9</f>
        <v>1.000000000001819</v>
      </c>
      <c r="U9" s="442">
        <v>11034</v>
      </c>
      <c r="W9" s="44">
        <f t="shared" ref="W9:W51" si="2">IF((DATEDIF(G9,W$5,"m"))&gt;=60,60,(DATEDIF(G9,W$5,"m")))</f>
        <v>60</v>
      </c>
    </row>
    <row r="10" spans="1:23" s="442" customFormat="1" ht="15.75" x14ac:dyDescent="0.25">
      <c r="B10" s="453" t="s">
        <v>2502</v>
      </c>
      <c r="F10" s="442" t="s">
        <v>2503</v>
      </c>
      <c r="G10" s="132" t="str">
        <f t="shared" si="0"/>
        <v>20/5/2008</v>
      </c>
      <c r="H10" s="442">
        <v>20</v>
      </c>
      <c r="I10" s="442">
        <v>5</v>
      </c>
      <c r="J10" s="442">
        <v>2008</v>
      </c>
      <c r="K10" s="442" t="s">
        <v>1817</v>
      </c>
      <c r="L10" s="83">
        <v>18</v>
      </c>
      <c r="M10" s="442" t="s">
        <v>2504</v>
      </c>
      <c r="N10" s="454">
        <v>9025.9599999999991</v>
      </c>
      <c r="O10" s="442">
        <v>5</v>
      </c>
      <c r="P10" s="30">
        <v>0</v>
      </c>
      <c r="Q10" s="30">
        <v>9024.9599999999973</v>
      </c>
      <c r="R10" s="30">
        <v>9024.9599999999973</v>
      </c>
      <c r="S10" s="15">
        <f t="shared" ref="S10:S51" si="3">R10-Q10</f>
        <v>0</v>
      </c>
      <c r="T10" s="455">
        <f t="shared" si="1"/>
        <v>1.000000000001819</v>
      </c>
      <c r="U10" s="442">
        <v>11034</v>
      </c>
      <c r="W10" s="44">
        <f t="shared" si="2"/>
        <v>60</v>
      </c>
    </row>
    <row r="11" spans="1:23" s="442" customFormat="1" ht="15.75" x14ac:dyDescent="0.25">
      <c r="B11" s="453" t="s">
        <v>2502</v>
      </c>
      <c r="F11" s="442" t="s">
        <v>2503</v>
      </c>
      <c r="G11" s="132" t="str">
        <f t="shared" si="0"/>
        <v>20/5/2008</v>
      </c>
      <c r="H11" s="442">
        <v>20</v>
      </c>
      <c r="I11" s="442">
        <v>5</v>
      </c>
      <c r="J11" s="442">
        <v>2008</v>
      </c>
      <c r="K11" s="442" t="s">
        <v>1817</v>
      </c>
      <c r="L11" s="83">
        <v>18</v>
      </c>
      <c r="M11" s="442" t="s">
        <v>2504</v>
      </c>
      <c r="N11" s="454">
        <v>9025.9599999999991</v>
      </c>
      <c r="O11" s="442">
        <v>5</v>
      </c>
      <c r="P11" s="30">
        <v>0</v>
      </c>
      <c r="Q11" s="30">
        <v>9024.9599999999973</v>
      </c>
      <c r="R11" s="30">
        <v>9024.9599999999973</v>
      </c>
      <c r="S11" s="15">
        <f t="shared" si="3"/>
        <v>0</v>
      </c>
      <c r="T11" s="455">
        <f t="shared" si="1"/>
        <v>1.000000000001819</v>
      </c>
      <c r="U11" s="442">
        <v>11034</v>
      </c>
      <c r="W11" s="44">
        <f t="shared" si="2"/>
        <v>60</v>
      </c>
    </row>
    <row r="12" spans="1:23" s="442" customFormat="1" ht="15.75" x14ac:dyDescent="0.25">
      <c r="B12" s="453" t="s">
        <v>2505</v>
      </c>
      <c r="D12" s="442" t="s">
        <v>2506</v>
      </c>
      <c r="F12" s="442" t="s">
        <v>2503</v>
      </c>
      <c r="G12" s="132" t="str">
        <f t="shared" si="0"/>
        <v>20/5/2008</v>
      </c>
      <c r="H12" s="442">
        <v>20</v>
      </c>
      <c r="I12" s="442">
        <v>5</v>
      </c>
      <c r="J12" s="442">
        <v>2008</v>
      </c>
      <c r="K12" s="442" t="s">
        <v>1817</v>
      </c>
      <c r="L12" s="83">
        <v>18</v>
      </c>
      <c r="M12" s="442" t="s">
        <v>2504</v>
      </c>
      <c r="N12" s="454">
        <v>7700</v>
      </c>
      <c r="O12" s="442">
        <v>5</v>
      </c>
      <c r="P12" s="30">
        <v>0</v>
      </c>
      <c r="Q12" s="30">
        <v>7699</v>
      </c>
      <c r="R12" s="30">
        <v>7699</v>
      </c>
      <c r="S12" s="15">
        <f t="shared" si="3"/>
        <v>0</v>
      </c>
      <c r="T12" s="455">
        <f t="shared" si="1"/>
        <v>1</v>
      </c>
      <c r="U12" s="442">
        <v>11034</v>
      </c>
      <c r="W12" s="44">
        <f t="shared" si="2"/>
        <v>60</v>
      </c>
    </row>
    <row r="13" spans="1:23" s="442" customFormat="1" ht="15.75" x14ac:dyDescent="0.25">
      <c r="B13" s="453" t="s">
        <v>2505</v>
      </c>
      <c r="D13" s="442" t="s">
        <v>2506</v>
      </c>
      <c r="F13" s="442" t="s">
        <v>2503</v>
      </c>
      <c r="G13" s="132" t="str">
        <f t="shared" si="0"/>
        <v>20/5/2008</v>
      </c>
      <c r="H13" s="442">
        <v>20</v>
      </c>
      <c r="I13" s="442">
        <v>5</v>
      </c>
      <c r="J13" s="442">
        <v>2008</v>
      </c>
      <c r="K13" s="442" t="s">
        <v>1817</v>
      </c>
      <c r="L13" s="83">
        <v>18</v>
      </c>
      <c r="M13" s="442" t="s">
        <v>2504</v>
      </c>
      <c r="N13" s="454">
        <v>7700</v>
      </c>
      <c r="O13" s="442">
        <v>5</v>
      </c>
      <c r="P13" s="30">
        <v>0</v>
      </c>
      <c r="Q13" s="30">
        <v>7699</v>
      </c>
      <c r="R13" s="30">
        <v>7699</v>
      </c>
      <c r="S13" s="15">
        <f t="shared" si="3"/>
        <v>0</v>
      </c>
      <c r="T13" s="455">
        <f t="shared" si="1"/>
        <v>1</v>
      </c>
      <c r="U13" s="442">
        <v>11034</v>
      </c>
      <c r="W13" s="44">
        <f t="shared" si="2"/>
        <v>60</v>
      </c>
    </row>
    <row r="14" spans="1:23" s="442" customFormat="1" ht="15.75" x14ac:dyDescent="0.25">
      <c r="B14" s="453" t="s">
        <v>2505</v>
      </c>
      <c r="D14" s="442" t="s">
        <v>2506</v>
      </c>
      <c r="F14" s="442" t="s">
        <v>2503</v>
      </c>
      <c r="G14" s="132" t="str">
        <f t="shared" si="0"/>
        <v>20/5/2008</v>
      </c>
      <c r="H14" s="442">
        <v>20</v>
      </c>
      <c r="I14" s="442">
        <v>5</v>
      </c>
      <c r="J14" s="442">
        <v>2008</v>
      </c>
      <c r="K14" s="442" t="s">
        <v>1817</v>
      </c>
      <c r="L14" s="83">
        <v>18</v>
      </c>
      <c r="M14" s="442" t="s">
        <v>2504</v>
      </c>
      <c r="N14" s="454">
        <v>7700</v>
      </c>
      <c r="O14" s="442">
        <v>5</v>
      </c>
      <c r="P14" s="30">
        <v>0</v>
      </c>
      <c r="Q14" s="30">
        <v>7699</v>
      </c>
      <c r="R14" s="30">
        <v>7699</v>
      </c>
      <c r="S14" s="15">
        <f t="shared" si="3"/>
        <v>0</v>
      </c>
      <c r="T14" s="455">
        <f t="shared" si="1"/>
        <v>1</v>
      </c>
      <c r="U14" s="442">
        <v>11034</v>
      </c>
      <c r="W14" s="44">
        <f t="shared" si="2"/>
        <v>60</v>
      </c>
    </row>
    <row r="15" spans="1:23" s="442" customFormat="1" ht="15.75" x14ac:dyDescent="0.25">
      <c r="B15" s="453" t="s">
        <v>2507</v>
      </c>
      <c r="D15" s="442" t="s">
        <v>2508</v>
      </c>
      <c r="F15" s="442" t="s">
        <v>2503</v>
      </c>
      <c r="G15" s="132" t="str">
        <f t="shared" si="0"/>
        <v>20/5/2008</v>
      </c>
      <c r="H15" s="442">
        <v>20</v>
      </c>
      <c r="I15" s="442">
        <v>5</v>
      </c>
      <c r="J15" s="442">
        <v>2008</v>
      </c>
      <c r="K15" s="442" t="s">
        <v>1817</v>
      </c>
      <c r="L15" s="83">
        <v>18</v>
      </c>
      <c r="M15" s="442" t="s">
        <v>2504</v>
      </c>
      <c r="N15" s="454">
        <v>7528.4</v>
      </c>
      <c r="O15" s="442">
        <v>5</v>
      </c>
      <c r="P15" s="30">
        <v>0</v>
      </c>
      <c r="Q15" s="30">
        <v>7527.4</v>
      </c>
      <c r="R15" s="30">
        <v>7527.4</v>
      </c>
      <c r="S15" s="15">
        <f t="shared" si="3"/>
        <v>0</v>
      </c>
      <c r="T15" s="455">
        <f t="shared" si="1"/>
        <v>1</v>
      </c>
      <c r="U15" s="442">
        <v>11034</v>
      </c>
      <c r="W15" s="44">
        <f t="shared" si="2"/>
        <v>60</v>
      </c>
    </row>
    <row r="16" spans="1:23" s="442" customFormat="1" ht="15.75" x14ac:dyDescent="0.25">
      <c r="B16" s="453" t="s">
        <v>2507</v>
      </c>
      <c r="D16" s="442" t="s">
        <v>2508</v>
      </c>
      <c r="F16" s="442" t="s">
        <v>2503</v>
      </c>
      <c r="G16" s="132" t="str">
        <f t="shared" si="0"/>
        <v>20/5/2008</v>
      </c>
      <c r="H16" s="442">
        <v>20</v>
      </c>
      <c r="I16" s="442">
        <v>5</v>
      </c>
      <c r="J16" s="442">
        <v>2008</v>
      </c>
      <c r="K16" s="442" t="s">
        <v>1817</v>
      </c>
      <c r="L16" s="83">
        <v>18</v>
      </c>
      <c r="M16" s="442" t="s">
        <v>2504</v>
      </c>
      <c r="N16" s="454">
        <v>7528.4</v>
      </c>
      <c r="O16" s="442">
        <v>5</v>
      </c>
      <c r="P16" s="30">
        <v>0</v>
      </c>
      <c r="Q16" s="30">
        <v>7527.4</v>
      </c>
      <c r="R16" s="30">
        <v>7527.4</v>
      </c>
      <c r="S16" s="15">
        <f t="shared" si="3"/>
        <v>0</v>
      </c>
      <c r="T16" s="455">
        <f t="shared" si="1"/>
        <v>1</v>
      </c>
      <c r="U16" s="442">
        <v>11034</v>
      </c>
      <c r="W16" s="44">
        <f t="shared" si="2"/>
        <v>60</v>
      </c>
    </row>
    <row r="17" spans="2:23" s="442" customFormat="1" ht="15.75" x14ac:dyDescent="0.25">
      <c r="B17" s="453" t="s">
        <v>2507</v>
      </c>
      <c r="D17" s="442" t="s">
        <v>2508</v>
      </c>
      <c r="F17" s="442" t="s">
        <v>2503</v>
      </c>
      <c r="G17" s="132" t="str">
        <f t="shared" si="0"/>
        <v>20/5/2008</v>
      </c>
      <c r="H17" s="442">
        <v>20</v>
      </c>
      <c r="I17" s="442">
        <v>5</v>
      </c>
      <c r="J17" s="442">
        <v>2008</v>
      </c>
      <c r="K17" s="442" t="s">
        <v>1817</v>
      </c>
      <c r="L17" s="83">
        <v>18</v>
      </c>
      <c r="M17" s="442" t="s">
        <v>2504</v>
      </c>
      <c r="N17" s="454">
        <v>7528.4</v>
      </c>
      <c r="O17" s="442">
        <v>5</v>
      </c>
      <c r="P17" s="30">
        <v>0</v>
      </c>
      <c r="Q17" s="30">
        <v>7527.4</v>
      </c>
      <c r="R17" s="30">
        <v>7527.4</v>
      </c>
      <c r="S17" s="15">
        <f t="shared" si="3"/>
        <v>0</v>
      </c>
      <c r="T17" s="455">
        <f t="shared" si="1"/>
        <v>1</v>
      </c>
      <c r="U17" s="442">
        <v>11034</v>
      </c>
      <c r="W17" s="44">
        <f t="shared" si="2"/>
        <v>60</v>
      </c>
    </row>
    <row r="18" spans="2:23" s="442" customFormat="1" ht="15.75" x14ac:dyDescent="0.25">
      <c r="B18" s="453" t="s">
        <v>2509</v>
      </c>
      <c r="C18" s="442" t="s">
        <v>2510</v>
      </c>
      <c r="D18" s="442">
        <v>1459</v>
      </c>
      <c r="F18" s="442" t="s">
        <v>2503</v>
      </c>
      <c r="G18" s="132" t="str">
        <f t="shared" si="0"/>
        <v>20/5/2008</v>
      </c>
      <c r="H18" s="442">
        <v>20</v>
      </c>
      <c r="I18" s="442">
        <v>5</v>
      </c>
      <c r="J18" s="442">
        <v>2008</v>
      </c>
      <c r="K18" s="442" t="s">
        <v>1817</v>
      </c>
      <c r="L18" s="83">
        <v>18</v>
      </c>
      <c r="M18" s="442" t="s">
        <v>2504</v>
      </c>
      <c r="N18" s="454">
        <v>5220</v>
      </c>
      <c r="O18" s="442">
        <v>5</v>
      </c>
      <c r="P18" s="30">
        <v>0</v>
      </c>
      <c r="Q18" s="30">
        <v>5219</v>
      </c>
      <c r="R18" s="30">
        <v>5219</v>
      </c>
      <c r="S18" s="15">
        <f t="shared" si="3"/>
        <v>0</v>
      </c>
      <c r="T18" s="455">
        <f t="shared" si="1"/>
        <v>1</v>
      </c>
      <c r="U18" s="442">
        <v>11034</v>
      </c>
      <c r="W18" s="44">
        <f t="shared" si="2"/>
        <v>60</v>
      </c>
    </row>
    <row r="19" spans="2:23" s="442" customFormat="1" ht="15.75" x14ac:dyDescent="0.25">
      <c r="B19" s="453" t="s">
        <v>2509</v>
      </c>
      <c r="C19" s="442" t="s">
        <v>2510</v>
      </c>
      <c r="D19" s="442">
        <v>1459</v>
      </c>
      <c r="F19" s="442" t="s">
        <v>2503</v>
      </c>
      <c r="G19" s="132" t="str">
        <f t="shared" si="0"/>
        <v>20/5/2008</v>
      </c>
      <c r="H19" s="442">
        <v>20</v>
      </c>
      <c r="I19" s="442">
        <v>5</v>
      </c>
      <c r="J19" s="442">
        <v>2008</v>
      </c>
      <c r="K19" s="442" t="s">
        <v>1817</v>
      </c>
      <c r="L19" s="83">
        <v>18</v>
      </c>
      <c r="M19" s="442" t="s">
        <v>2504</v>
      </c>
      <c r="N19" s="454">
        <v>5220</v>
      </c>
      <c r="O19" s="442">
        <v>5</v>
      </c>
      <c r="P19" s="30">
        <v>0</v>
      </c>
      <c r="Q19" s="30">
        <v>5219</v>
      </c>
      <c r="R19" s="30">
        <v>5219</v>
      </c>
      <c r="S19" s="15">
        <f t="shared" si="3"/>
        <v>0</v>
      </c>
      <c r="T19" s="455">
        <f t="shared" si="1"/>
        <v>1</v>
      </c>
      <c r="U19" s="442">
        <v>11034</v>
      </c>
      <c r="W19" s="44">
        <f t="shared" si="2"/>
        <v>60</v>
      </c>
    </row>
    <row r="20" spans="2:23" s="442" customFormat="1" ht="15.75" x14ac:dyDescent="0.25">
      <c r="B20" s="453" t="s">
        <v>2509</v>
      </c>
      <c r="C20" s="442" t="s">
        <v>2510</v>
      </c>
      <c r="D20" s="442">
        <v>1459</v>
      </c>
      <c r="F20" s="442" t="s">
        <v>2503</v>
      </c>
      <c r="G20" s="132" t="str">
        <f t="shared" si="0"/>
        <v>20/5/2008</v>
      </c>
      <c r="H20" s="442">
        <v>20</v>
      </c>
      <c r="I20" s="442">
        <v>5</v>
      </c>
      <c r="J20" s="442">
        <v>2008</v>
      </c>
      <c r="K20" s="442" t="s">
        <v>1817</v>
      </c>
      <c r="L20" s="83">
        <v>18</v>
      </c>
      <c r="M20" s="442" t="s">
        <v>2504</v>
      </c>
      <c r="N20" s="454">
        <v>5220</v>
      </c>
      <c r="O20" s="442">
        <v>5</v>
      </c>
      <c r="P20" s="30">
        <v>0</v>
      </c>
      <c r="Q20" s="30">
        <v>5219</v>
      </c>
      <c r="R20" s="30">
        <v>5219</v>
      </c>
      <c r="S20" s="15">
        <f t="shared" si="3"/>
        <v>0</v>
      </c>
      <c r="T20" s="455">
        <f t="shared" si="1"/>
        <v>1</v>
      </c>
      <c r="U20" s="442">
        <v>11034</v>
      </c>
      <c r="W20" s="44">
        <f t="shared" si="2"/>
        <v>60</v>
      </c>
    </row>
    <row r="21" spans="2:23" s="442" customFormat="1" ht="15.75" x14ac:dyDescent="0.25">
      <c r="B21" s="453" t="s">
        <v>2511</v>
      </c>
      <c r="D21" s="442" t="s">
        <v>2512</v>
      </c>
      <c r="F21" s="442" t="s">
        <v>2503</v>
      </c>
      <c r="G21" s="132" t="str">
        <f t="shared" si="0"/>
        <v>20/5/2008</v>
      </c>
      <c r="H21" s="442">
        <v>20</v>
      </c>
      <c r="I21" s="442">
        <v>5</v>
      </c>
      <c r="J21" s="442">
        <v>2008</v>
      </c>
      <c r="K21" s="442" t="s">
        <v>1817</v>
      </c>
      <c r="L21" s="83">
        <v>18</v>
      </c>
      <c r="M21" s="442" t="s">
        <v>2504</v>
      </c>
      <c r="N21" s="454">
        <v>10300.799999999999</v>
      </c>
      <c r="O21" s="442">
        <v>5</v>
      </c>
      <c r="P21" s="30">
        <v>0</v>
      </c>
      <c r="Q21" s="30">
        <v>10299.799999999999</v>
      </c>
      <c r="R21" s="30">
        <v>10299.799999999999</v>
      </c>
      <c r="S21" s="15">
        <f t="shared" si="3"/>
        <v>0</v>
      </c>
      <c r="T21" s="455">
        <f t="shared" si="1"/>
        <v>1</v>
      </c>
      <c r="U21" s="442">
        <v>11034</v>
      </c>
      <c r="W21" s="44">
        <f t="shared" si="2"/>
        <v>60</v>
      </c>
    </row>
    <row r="22" spans="2:23" s="442" customFormat="1" ht="15.75" x14ac:dyDescent="0.25">
      <c r="B22" s="453" t="s">
        <v>2511</v>
      </c>
      <c r="D22" s="442" t="s">
        <v>2512</v>
      </c>
      <c r="F22" s="442" t="s">
        <v>2503</v>
      </c>
      <c r="G22" s="132" t="str">
        <f t="shared" si="0"/>
        <v>20/5/2008</v>
      </c>
      <c r="H22" s="442">
        <v>20</v>
      </c>
      <c r="I22" s="442">
        <v>5</v>
      </c>
      <c r="J22" s="442">
        <v>2008</v>
      </c>
      <c r="K22" s="442" t="s">
        <v>1817</v>
      </c>
      <c r="L22" s="83">
        <v>18</v>
      </c>
      <c r="M22" s="442" t="s">
        <v>2504</v>
      </c>
      <c r="N22" s="454">
        <v>10300.799999999999</v>
      </c>
      <c r="O22" s="442">
        <v>5</v>
      </c>
      <c r="P22" s="30">
        <v>0</v>
      </c>
      <c r="Q22" s="30">
        <v>10299.799999999999</v>
      </c>
      <c r="R22" s="30">
        <v>10299.799999999999</v>
      </c>
      <c r="S22" s="15">
        <f t="shared" si="3"/>
        <v>0</v>
      </c>
      <c r="T22" s="455">
        <f t="shared" si="1"/>
        <v>1</v>
      </c>
      <c r="U22" s="442">
        <v>11034</v>
      </c>
      <c r="W22" s="44">
        <f t="shared" si="2"/>
        <v>60</v>
      </c>
    </row>
    <row r="23" spans="2:23" s="442" customFormat="1" ht="15.75" x14ac:dyDescent="0.25">
      <c r="B23" s="453" t="s">
        <v>2511</v>
      </c>
      <c r="D23" s="442" t="s">
        <v>2512</v>
      </c>
      <c r="F23" s="442" t="s">
        <v>2503</v>
      </c>
      <c r="G23" s="132" t="str">
        <f t="shared" si="0"/>
        <v>20/5/2008</v>
      </c>
      <c r="H23" s="442">
        <v>20</v>
      </c>
      <c r="I23" s="442">
        <v>5</v>
      </c>
      <c r="J23" s="442">
        <v>2008</v>
      </c>
      <c r="K23" s="442" t="s">
        <v>1817</v>
      </c>
      <c r="L23" s="83">
        <v>18</v>
      </c>
      <c r="M23" s="442" t="s">
        <v>2504</v>
      </c>
      <c r="N23" s="454">
        <v>10300.799999999999</v>
      </c>
      <c r="O23" s="442">
        <v>5</v>
      </c>
      <c r="P23" s="30">
        <v>0</v>
      </c>
      <c r="Q23" s="30">
        <v>10299.799999999999</v>
      </c>
      <c r="R23" s="30">
        <v>10299.799999999999</v>
      </c>
      <c r="S23" s="15">
        <f t="shared" si="3"/>
        <v>0</v>
      </c>
      <c r="T23" s="455">
        <f t="shared" si="1"/>
        <v>1</v>
      </c>
      <c r="U23" s="442">
        <v>11034</v>
      </c>
      <c r="W23" s="44">
        <f>IF((DATEDIF(G23,W$5,"m"))&gt;=60,60,(DATEDIF(G23,W$5,"m")))</f>
        <v>60</v>
      </c>
    </row>
    <row r="24" spans="2:23" s="442" customFormat="1" ht="15.75" x14ac:dyDescent="0.25">
      <c r="B24" s="453" t="s">
        <v>2513</v>
      </c>
      <c r="D24" s="442" t="s">
        <v>2514</v>
      </c>
      <c r="F24" s="442" t="s">
        <v>2503</v>
      </c>
      <c r="G24" s="132" t="str">
        <f t="shared" si="0"/>
        <v>20/5/2008</v>
      </c>
      <c r="H24" s="442">
        <v>20</v>
      </c>
      <c r="I24" s="442">
        <v>5</v>
      </c>
      <c r="J24" s="442">
        <v>2008</v>
      </c>
      <c r="K24" s="442" t="s">
        <v>1817</v>
      </c>
      <c r="L24" s="83">
        <v>18</v>
      </c>
      <c r="M24" s="442" t="s">
        <v>2504</v>
      </c>
      <c r="N24" s="454">
        <v>1157.68</v>
      </c>
      <c r="O24" s="442">
        <v>5</v>
      </c>
      <c r="P24" s="30">
        <v>0</v>
      </c>
      <c r="Q24" s="30">
        <v>1156.68</v>
      </c>
      <c r="R24" s="30">
        <v>1156.68</v>
      </c>
      <c r="S24" s="15">
        <f t="shared" si="3"/>
        <v>0</v>
      </c>
      <c r="T24" s="455">
        <f t="shared" si="1"/>
        <v>1</v>
      </c>
      <c r="U24" s="442">
        <v>11034</v>
      </c>
      <c r="W24" s="44">
        <f t="shared" si="2"/>
        <v>60</v>
      </c>
    </row>
    <row r="25" spans="2:23" s="442" customFormat="1" ht="15.75" x14ac:dyDescent="0.25">
      <c r="B25" s="453" t="s">
        <v>2513</v>
      </c>
      <c r="D25" s="442" t="s">
        <v>2514</v>
      </c>
      <c r="F25" s="442" t="s">
        <v>2503</v>
      </c>
      <c r="G25" s="132" t="str">
        <f t="shared" si="0"/>
        <v>20/5/2008</v>
      </c>
      <c r="H25" s="442">
        <v>20</v>
      </c>
      <c r="I25" s="442">
        <v>5</v>
      </c>
      <c r="J25" s="442">
        <v>2008</v>
      </c>
      <c r="K25" s="442" t="s">
        <v>1817</v>
      </c>
      <c r="L25" s="83">
        <v>18</v>
      </c>
      <c r="M25" s="442" t="s">
        <v>2504</v>
      </c>
      <c r="N25" s="454">
        <v>1157.68</v>
      </c>
      <c r="O25" s="442">
        <v>5</v>
      </c>
      <c r="P25" s="30">
        <v>0</v>
      </c>
      <c r="Q25" s="30">
        <v>1156.68</v>
      </c>
      <c r="R25" s="30">
        <v>1156.68</v>
      </c>
      <c r="S25" s="15">
        <f t="shared" si="3"/>
        <v>0</v>
      </c>
      <c r="T25" s="455">
        <f t="shared" si="1"/>
        <v>1</v>
      </c>
      <c r="U25" s="442">
        <v>11034</v>
      </c>
      <c r="W25" s="44">
        <f t="shared" si="2"/>
        <v>60</v>
      </c>
    </row>
    <row r="26" spans="2:23" s="442" customFormat="1" ht="15.75" x14ac:dyDescent="0.25">
      <c r="B26" s="453" t="s">
        <v>2513</v>
      </c>
      <c r="D26" s="442" t="s">
        <v>2514</v>
      </c>
      <c r="F26" s="442" t="s">
        <v>2503</v>
      </c>
      <c r="G26" s="132" t="str">
        <f t="shared" si="0"/>
        <v>20/5/2008</v>
      </c>
      <c r="H26" s="442">
        <v>20</v>
      </c>
      <c r="I26" s="442">
        <v>5</v>
      </c>
      <c r="J26" s="442">
        <v>2008</v>
      </c>
      <c r="K26" s="442" t="s">
        <v>1817</v>
      </c>
      <c r="L26" s="83">
        <v>18</v>
      </c>
      <c r="M26" s="442" t="s">
        <v>2504</v>
      </c>
      <c r="N26" s="454">
        <v>1157.68</v>
      </c>
      <c r="O26" s="442">
        <v>5</v>
      </c>
      <c r="P26" s="30">
        <v>0</v>
      </c>
      <c r="Q26" s="30">
        <v>1156.68</v>
      </c>
      <c r="R26" s="30">
        <v>1156.68</v>
      </c>
      <c r="S26" s="15">
        <f t="shared" si="3"/>
        <v>0</v>
      </c>
      <c r="T26" s="455">
        <f t="shared" si="1"/>
        <v>1</v>
      </c>
      <c r="U26" s="442">
        <v>11034</v>
      </c>
      <c r="W26" s="44">
        <f t="shared" si="2"/>
        <v>60</v>
      </c>
    </row>
    <row r="27" spans="2:23" s="442" customFormat="1" ht="31.5" x14ac:dyDescent="0.25">
      <c r="B27" s="453" t="s">
        <v>2515</v>
      </c>
      <c r="C27" s="442" t="s">
        <v>2516</v>
      </c>
      <c r="D27" s="442" t="s">
        <v>2517</v>
      </c>
      <c r="F27" s="442" t="s">
        <v>2518</v>
      </c>
      <c r="G27" s="132" t="str">
        <f t="shared" si="0"/>
        <v>20/6/2008</v>
      </c>
      <c r="H27" s="442">
        <v>20</v>
      </c>
      <c r="I27" s="442">
        <v>6</v>
      </c>
      <c r="J27" s="442">
        <v>2008</v>
      </c>
      <c r="K27" s="442" t="s">
        <v>1817</v>
      </c>
      <c r="L27" s="83">
        <v>40</v>
      </c>
      <c r="M27" s="442" t="s">
        <v>2504</v>
      </c>
      <c r="N27" s="454">
        <v>2366.4</v>
      </c>
      <c r="O27" s="442">
        <v>5</v>
      </c>
      <c r="P27" s="30">
        <v>0</v>
      </c>
      <c r="Q27" s="30">
        <v>2365.4000000000005</v>
      </c>
      <c r="R27" s="30">
        <v>2365.4000000000005</v>
      </c>
      <c r="S27" s="15">
        <f t="shared" si="3"/>
        <v>0</v>
      </c>
      <c r="T27" s="455">
        <f t="shared" si="1"/>
        <v>0.99999999999954525</v>
      </c>
      <c r="U27" s="442">
        <v>11232</v>
      </c>
      <c r="W27" s="44">
        <f t="shared" si="2"/>
        <v>60</v>
      </c>
    </row>
    <row r="28" spans="2:23" s="442" customFormat="1" ht="15.75" x14ac:dyDescent="0.25">
      <c r="B28" s="453" t="s">
        <v>2519</v>
      </c>
      <c r="C28" s="442" t="s">
        <v>2516</v>
      </c>
      <c r="D28" s="442" t="s">
        <v>2517</v>
      </c>
      <c r="F28" s="442" t="s">
        <v>2518</v>
      </c>
      <c r="G28" s="132" t="str">
        <f>CONCATENATE(H28,"/",I28,"/",J28,)</f>
        <v>20/6/2008</v>
      </c>
      <c r="H28" s="442">
        <v>20</v>
      </c>
      <c r="I28" s="442">
        <v>6</v>
      </c>
      <c r="J28" s="442">
        <v>2008</v>
      </c>
      <c r="K28" s="442" t="s">
        <v>1817</v>
      </c>
      <c r="L28" s="83">
        <v>40</v>
      </c>
      <c r="M28" s="442" t="s">
        <v>2504</v>
      </c>
      <c r="N28" s="454">
        <v>2366.4</v>
      </c>
      <c r="O28" s="442">
        <v>5</v>
      </c>
      <c r="P28" s="30">
        <v>0</v>
      </c>
      <c r="Q28" s="30">
        <v>2365.4000000000005</v>
      </c>
      <c r="R28" s="30">
        <v>2365.4000000000005</v>
      </c>
      <c r="S28" s="15">
        <f t="shared" si="3"/>
        <v>0</v>
      </c>
      <c r="T28" s="455">
        <f t="shared" si="1"/>
        <v>0.99999999999954525</v>
      </c>
      <c r="U28" s="442">
        <v>11232</v>
      </c>
      <c r="W28" s="44">
        <f t="shared" si="2"/>
        <v>60</v>
      </c>
    </row>
    <row r="29" spans="2:23" s="442" customFormat="1" ht="15.75" x14ac:dyDescent="0.25">
      <c r="B29" s="453" t="s">
        <v>2519</v>
      </c>
      <c r="C29" s="442" t="s">
        <v>2516</v>
      </c>
      <c r="D29" s="442" t="s">
        <v>2517</v>
      </c>
      <c r="F29" s="442" t="s">
        <v>2518</v>
      </c>
      <c r="G29" s="132" t="str">
        <f t="shared" si="0"/>
        <v>20/6/2008</v>
      </c>
      <c r="H29" s="442">
        <v>20</v>
      </c>
      <c r="I29" s="442">
        <v>6</v>
      </c>
      <c r="J29" s="442">
        <v>2008</v>
      </c>
      <c r="K29" s="442" t="s">
        <v>1817</v>
      </c>
      <c r="L29" s="83">
        <v>40</v>
      </c>
      <c r="M29" s="442" t="s">
        <v>2504</v>
      </c>
      <c r="N29" s="454">
        <v>2366.4</v>
      </c>
      <c r="O29" s="442">
        <v>5</v>
      </c>
      <c r="P29" s="30">
        <v>0</v>
      </c>
      <c r="Q29" s="30">
        <v>2365.4000000000005</v>
      </c>
      <c r="R29" s="30">
        <v>2365.4000000000005</v>
      </c>
      <c r="S29" s="15">
        <f t="shared" si="3"/>
        <v>0</v>
      </c>
      <c r="T29" s="455">
        <f t="shared" si="1"/>
        <v>0.99999999999954525</v>
      </c>
      <c r="U29" s="442">
        <v>11232</v>
      </c>
      <c r="W29" s="44">
        <f t="shared" si="2"/>
        <v>60</v>
      </c>
    </row>
    <row r="30" spans="2:23" s="442" customFormat="1" ht="15.75" x14ac:dyDescent="0.25">
      <c r="B30" s="453" t="s">
        <v>2519</v>
      </c>
      <c r="C30" s="442" t="s">
        <v>2516</v>
      </c>
      <c r="D30" s="442" t="s">
        <v>2517</v>
      </c>
      <c r="F30" s="442" t="s">
        <v>2518</v>
      </c>
      <c r="G30" s="132" t="str">
        <f t="shared" si="0"/>
        <v>20/6/2008</v>
      </c>
      <c r="H30" s="442">
        <v>20</v>
      </c>
      <c r="I30" s="442">
        <v>6</v>
      </c>
      <c r="J30" s="442">
        <v>2008</v>
      </c>
      <c r="K30" s="442" t="s">
        <v>1817</v>
      </c>
      <c r="L30" s="83">
        <v>40</v>
      </c>
      <c r="M30" s="442" t="s">
        <v>2504</v>
      </c>
      <c r="N30" s="454">
        <v>2366.4</v>
      </c>
      <c r="O30" s="442">
        <v>5</v>
      </c>
      <c r="P30" s="30">
        <v>0</v>
      </c>
      <c r="Q30" s="30">
        <v>2365.4000000000005</v>
      </c>
      <c r="R30" s="30">
        <v>2365.4000000000005</v>
      </c>
      <c r="S30" s="15">
        <f t="shared" si="3"/>
        <v>0</v>
      </c>
      <c r="T30" s="455">
        <f t="shared" si="1"/>
        <v>0.99999999999954525</v>
      </c>
      <c r="U30" s="442">
        <v>11232</v>
      </c>
      <c r="W30" s="44">
        <f t="shared" si="2"/>
        <v>60</v>
      </c>
    </row>
    <row r="31" spans="2:23" s="442" customFormat="1" ht="15.75" x14ac:dyDescent="0.25">
      <c r="B31" s="453" t="s">
        <v>2519</v>
      </c>
      <c r="C31" s="442" t="s">
        <v>2516</v>
      </c>
      <c r="D31" s="442" t="s">
        <v>2517</v>
      </c>
      <c r="F31" s="442" t="s">
        <v>2518</v>
      </c>
      <c r="G31" s="132" t="str">
        <f t="shared" si="0"/>
        <v>20/6/2008</v>
      </c>
      <c r="H31" s="442">
        <v>20</v>
      </c>
      <c r="I31" s="442">
        <v>6</v>
      </c>
      <c r="J31" s="442">
        <v>2008</v>
      </c>
      <c r="K31" s="442" t="s">
        <v>1817</v>
      </c>
      <c r="L31" s="83">
        <v>40</v>
      </c>
      <c r="M31" s="442" t="s">
        <v>2504</v>
      </c>
      <c r="N31" s="454">
        <v>2366.4</v>
      </c>
      <c r="O31" s="442">
        <v>5</v>
      </c>
      <c r="P31" s="30">
        <v>0</v>
      </c>
      <c r="Q31" s="30">
        <v>2365.4000000000005</v>
      </c>
      <c r="R31" s="30">
        <v>2365.4000000000005</v>
      </c>
      <c r="S31" s="15">
        <f t="shared" si="3"/>
        <v>0</v>
      </c>
      <c r="T31" s="455">
        <f t="shared" si="1"/>
        <v>0.99999999999954525</v>
      </c>
      <c r="U31" s="442">
        <v>11232</v>
      </c>
      <c r="W31" s="44">
        <f t="shared" si="2"/>
        <v>60</v>
      </c>
    </row>
    <row r="32" spans="2:23" s="442" customFormat="1" ht="15.75" x14ac:dyDescent="0.25">
      <c r="B32" s="453" t="s">
        <v>2520</v>
      </c>
      <c r="F32" s="442" t="s">
        <v>2521</v>
      </c>
      <c r="G32" s="132" t="str">
        <f t="shared" si="0"/>
        <v>20/6/2008</v>
      </c>
      <c r="H32" s="442">
        <v>20</v>
      </c>
      <c r="I32" s="442">
        <v>6</v>
      </c>
      <c r="J32" s="442">
        <v>2008</v>
      </c>
      <c r="K32" s="442" t="s">
        <v>1817</v>
      </c>
      <c r="L32" s="83">
        <v>40</v>
      </c>
      <c r="M32" s="442" t="s">
        <v>2504</v>
      </c>
      <c r="N32" s="454">
        <v>30740</v>
      </c>
      <c r="O32" s="442">
        <v>5</v>
      </c>
      <c r="P32" s="30">
        <v>0</v>
      </c>
      <c r="Q32" s="30">
        <v>30739.000000000004</v>
      </c>
      <c r="R32" s="30">
        <v>30739.000000000004</v>
      </c>
      <c r="S32" s="15">
        <f t="shared" si="3"/>
        <v>0</v>
      </c>
      <c r="T32" s="455">
        <f t="shared" si="1"/>
        <v>0.99999999999636202</v>
      </c>
      <c r="U32" s="442">
        <v>11232</v>
      </c>
      <c r="W32" s="44">
        <f t="shared" si="2"/>
        <v>60</v>
      </c>
    </row>
    <row r="33" spans="2:23" s="442" customFormat="1" ht="15.75" x14ac:dyDescent="0.25">
      <c r="B33" s="453" t="s">
        <v>2520</v>
      </c>
      <c r="F33" s="442" t="s">
        <v>2521</v>
      </c>
      <c r="G33" s="132" t="str">
        <f t="shared" si="0"/>
        <v>20/6/2008</v>
      </c>
      <c r="H33" s="442">
        <v>20</v>
      </c>
      <c r="I33" s="442">
        <v>6</v>
      </c>
      <c r="J33" s="442">
        <v>2008</v>
      </c>
      <c r="K33" s="442" t="s">
        <v>1817</v>
      </c>
      <c r="L33" s="83">
        <v>40</v>
      </c>
      <c r="M33" s="442" t="s">
        <v>2504</v>
      </c>
      <c r="N33" s="454">
        <v>30740</v>
      </c>
      <c r="O33" s="442">
        <v>5</v>
      </c>
      <c r="P33" s="30">
        <v>0</v>
      </c>
      <c r="Q33" s="30">
        <v>30739.000000000004</v>
      </c>
      <c r="R33" s="30">
        <v>30739.000000000004</v>
      </c>
      <c r="S33" s="15">
        <f t="shared" si="3"/>
        <v>0</v>
      </c>
      <c r="T33" s="455">
        <f t="shared" si="1"/>
        <v>0.99999999999636202</v>
      </c>
      <c r="U33" s="442">
        <v>11232</v>
      </c>
      <c r="W33" s="44">
        <f t="shared" si="2"/>
        <v>60</v>
      </c>
    </row>
    <row r="34" spans="2:23" s="442" customFormat="1" ht="15.75" x14ac:dyDescent="0.25">
      <c r="B34" s="453" t="s">
        <v>2520</v>
      </c>
      <c r="F34" s="442" t="s">
        <v>2521</v>
      </c>
      <c r="G34" s="132" t="str">
        <f t="shared" si="0"/>
        <v>20/6/2008</v>
      </c>
      <c r="H34" s="442">
        <v>20</v>
      </c>
      <c r="I34" s="442">
        <v>6</v>
      </c>
      <c r="J34" s="442">
        <v>2008</v>
      </c>
      <c r="K34" s="442" t="s">
        <v>1817</v>
      </c>
      <c r="L34" s="83">
        <v>40</v>
      </c>
      <c r="M34" s="442" t="s">
        <v>2504</v>
      </c>
      <c r="N34" s="454">
        <v>30740</v>
      </c>
      <c r="O34" s="442">
        <v>5</v>
      </c>
      <c r="P34" s="30">
        <v>0</v>
      </c>
      <c r="Q34" s="30">
        <v>30739.000000000004</v>
      </c>
      <c r="R34" s="30">
        <v>30739.000000000004</v>
      </c>
      <c r="S34" s="15">
        <f t="shared" si="3"/>
        <v>0</v>
      </c>
      <c r="T34" s="455">
        <f t="shared" si="1"/>
        <v>0.99999999999636202</v>
      </c>
      <c r="U34" s="442">
        <v>11232</v>
      </c>
      <c r="W34" s="44">
        <f t="shared" si="2"/>
        <v>60</v>
      </c>
    </row>
    <row r="35" spans="2:23" s="442" customFormat="1" ht="15.75" x14ac:dyDescent="0.25">
      <c r="B35" s="456" t="s">
        <v>2520</v>
      </c>
      <c r="C35" s="457"/>
      <c r="D35" s="457"/>
      <c r="E35" s="457"/>
      <c r="F35" s="457" t="s">
        <v>2521</v>
      </c>
      <c r="G35" s="458" t="str">
        <f t="shared" si="0"/>
        <v>20/6/2008</v>
      </c>
      <c r="H35" s="457">
        <v>20</v>
      </c>
      <c r="I35" s="457">
        <v>6</v>
      </c>
      <c r="J35" s="457">
        <v>2008</v>
      </c>
      <c r="K35" s="457" t="s">
        <v>1817</v>
      </c>
      <c r="L35" s="459">
        <v>40</v>
      </c>
      <c r="M35" s="457" t="s">
        <v>2504</v>
      </c>
      <c r="N35" s="460">
        <v>30740</v>
      </c>
      <c r="O35" s="442">
        <v>5</v>
      </c>
      <c r="P35" s="30">
        <v>0</v>
      </c>
      <c r="Q35" s="30">
        <v>30739.000000000004</v>
      </c>
      <c r="R35" s="30">
        <v>30739.000000000004</v>
      </c>
      <c r="S35" s="15">
        <f t="shared" si="3"/>
        <v>0</v>
      </c>
      <c r="T35" s="455">
        <f t="shared" si="1"/>
        <v>0.99999999999636202</v>
      </c>
      <c r="U35" s="442">
        <v>11232</v>
      </c>
      <c r="W35" s="44">
        <f t="shared" si="2"/>
        <v>60</v>
      </c>
    </row>
    <row r="36" spans="2:23" s="442" customFormat="1" ht="15.75" x14ac:dyDescent="0.25">
      <c r="B36" s="453" t="s">
        <v>2520</v>
      </c>
      <c r="F36" s="442" t="s">
        <v>2521</v>
      </c>
      <c r="G36" s="132" t="str">
        <f t="shared" si="0"/>
        <v>20/6/2008</v>
      </c>
      <c r="H36" s="442">
        <v>20</v>
      </c>
      <c r="I36" s="442">
        <v>6</v>
      </c>
      <c r="J36" s="442">
        <v>2008</v>
      </c>
      <c r="K36" s="442" t="s">
        <v>1817</v>
      </c>
      <c r="L36" s="83">
        <v>40</v>
      </c>
      <c r="M36" s="442" t="s">
        <v>2504</v>
      </c>
      <c r="N36" s="454">
        <v>30740</v>
      </c>
      <c r="O36" s="442">
        <v>5</v>
      </c>
      <c r="P36" s="30">
        <v>0</v>
      </c>
      <c r="Q36" s="30">
        <v>30739.000000000004</v>
      </c>
      <c r="R36" s="30">
        <v>30739.000000000004</v>
      </c>
      <c r="S36" s="15">
        <f t="shared" si="3"/>
        <v>0</v>
      </c>
      <c r="T36" s="455">
        <f t="shared" si="1"/>
        <v>0.99999999999636202</v>
      </c>
      <c r="U36" s="442">
        <v>11232</v>
      </c>
      <c r="W36" s="44">
        <f t="shared" si="2"/>
        <v>60</v>
      </c>
    </row>
    <row r="37" spans="2:23" s="442" customFormat="1" ht="15.75" x14ac:dyDescent="0.25">
      <c r="B37" s="453" t="s">
        <v>2522</v>
      </c>
      <c r="C37" s="442" t="s">
        <v>2523</v>
      </c>
      <c r="D37" s="442" t="s">
        <v>2524</v>
      </c>
      <c r="F37" s="442" t="s">
        <v>2525</v>
      </c>
      <c r="G37" s="132" t="str">
        <f t="shared" si="0"/>
        <v>22/9/2008</v>
      </c>
      <c r="H37" s="442">
        <v>22</v>
      </c>
      <c r="I37" s="442">
        <v>9</v>
      </c>
      <c r="J37" s="442">
        <v>2008</v>
      </c>
      <c r="L37" s="83">
        <v>101</v>
      </c>
      <c r="M37" s="442" t="s">
        <v>2504</v>
      </c>
      <c r="N37" s="454">
        <v>27685</v>
      </c>
      <c r="O37" s="442">
        <v>5</v>
      </c>
      <c r="P37" s="30">
        <v>0</v>
      </c>
      <c r="Q37" s="30">
        <v>27684.000000000004</v>
      </c>
      <c r="R37" s="30">
        <v>27684.000000000004</v>
      </c>
      <c r="S37" s="15">
        <f t="shared" si="3"/>
        <v>0</v>
      </c>
      <c r="T37" s="455">
        <f t="shared" si="1"/>
        <v>0.99999999999636202</v>
      </c>
      <c r="W37" s="44">
        <f t="shared" si="2"/>
        <v>60</v>
      </c>
    </row>
    <row r="38" spans="2:23" s="442" customFormat="1" ht="31.5" x14ac:dyDescent="0.25">
      <c r="B38" s="453" t="s">
        <v>2526</v>
      </c>
      <c r="F38" s="442" t="s">
        <v>2527</v>
      </c>
      <c r="G38" s="132" t="str">
        <f t="shared" si="0"/>
        <v>9/10/2008</v>
      </c>
      <c r="H38" s="442">
        <v>9</v>
      </c>
      <c r="I38" s="442">
        <v>10</v>
      </c>
      <c r="J38" s="442">
        <v>2008</v>
      </c>
      <c r="L38" s="83"/>
      <c r="M38" s="442" t="s">
        <v>2504</v>
      </c>
      <c r="N38" s="454">
        <v>30740</v>
      </c>
      <c r="O38" s="442">
        <v>5</v>
      </c>
      <c r="P38" s="30">
        <v>0</v>
      </c>
      <c r="Q38" s="30">
        <v>30739.000000000004</v>
      </c>
      <c r="R38" s="30">
        <v>30739.000000000004</v>
      </c>
      <c r="S38" s="15">
        <f t="shared" si="3"/>
        <v>0</v>
      </c>
      <c r="T38" s="455">
        <f t="shared" si="1"/>
        <v>0.99999999999636202</v>
      </c>
      <c r="U38" s="442">
        <v>11552</v>
      </c>
      <c r="W38" s="44">
        <f t="shared" si="2"/>
        <v>60</v>
      </c>
    </row>
    <row r="39" spans="2:23" s="442" customFormat="1" ht="31.5" x14ac:dyDescent="0.25">
      <c r="B39" s="453" t="s">
        <v>2526</v>
      </c>
      <c r="F39" s="442" t="s">
        <v>2528</v>
      </c>
      <c r="G39" s="132" t="str">
        <f t="shared" si="0"/>
        <v>9/10/2008</v>
      </c>
      <c r="H39" s="442">
        <v>9</v>
      </c>
      <c r="I39" s="442">
        <v>10</v>
      </c>
      <c r="J39" s="442">
        <v>2008</v>
      </c>
      <c r="L39" s="83"/>
      <c r="M39" s="442" t="s">
        <v>2504</v>
      </c>
      <c r="N39" s="454">
        <v>30740</v>
      </c>
      <c r="O39" s="442">
        <v>5</v>
      </c>
      <c r="P39" s="30">
        <v>0</v>
      </c>
      <c r="Q39" s="30">
        <v>30739.000000000004</v>
      </c>
      <c r="R39" s="30">
        <v>30739.000000000004</v>
      </c>
      <c r="S39" s="15">
        <f t="shared" si="3"/>
        <v>0</v>
      </c>
      <c r="T39" s="455">
        <f t="shared" si="1"/>
        <v>0.99999999999636202</v>
      </c>
      <c r="U39" s="442">
        <v>11552</v>
      </c>
      <c r="W39" s="44">
        <f t="shared" si="2"/>
        <v>60</v>
      </c>
    </row>
    <row r="40" spans="2:23" s="442" customFormat="1" ht="31.5" x14ac:dyDescent="0.25">
      <c r="B40" s="453" t="s">
        <v>2526</v>
      </c>
      <c r="F40" s="442" t="s">
        <v>2527</v>
      </c>
      <c r="G40" s="132" t="str">
        <f t="shared" si="0"/>
        <v>9/10/2008</v>
      </c>
      <c r="H40" s="442">
        <v>9</v>
      </c>
      <c r="I40" s="442">
        <v>10</v>
      </c>
      <c r="J40" s="442">
        <v>2008</v>
      </c>
      <c r="L40" s="83"/>
      <c r="M40" s="442" t="s">
        <v>2504</v>
      </c>
      <c r="N40" s="454">
        <v>30740</v>
      </c>
      <c r="O40" s="442">
        <v>5</v>
      </c>
      <c r="P40" s="30">
        <v>0</v>
      </c>
      <c r="Q40" s="30">
        <v>30739.000000000004</v>
      </c>
      <c r="R40" s="30">
        <v>30739.000000000004</v>
      </c>
      <c r="S40" s="15">
        <f t="shared" si="3"/>
        <v>0</v>
      </c>
      <c r="T40" s="455">
        <f t="shared" si="1"/>
        <v>0.99999999999636202</v>
      </c>
      <c r="U40" s="442">
        <v>11552</v>
      </c>
      <c r="W40" s="44">
        <f t="shared" si="2"/>
        <v>60</v>
      </c>
    </row>
    <row r="41" spans="2:23" s="442" customFormat="1" ht="31.5" x14ac:dyDescent="0.25">
      <c r="B41" s="453" t="s">
        <v>2526</v>
      </c>
      <c r="F41" s="442" t="s">
        <v>2527</v>
      </c>
      <c r="G41" s="132" t="str">
        <f t="shared" si="0"/>
        <v>9/10/2008</v>
      </c>
      <c r="H41" s="442">
        <v>9</v>
      </c>
      <c r="I41" s="442">
        <v>10</v>
      </c>
      <c r="J41" s="442">
        <v>2008</v>
      </c>
      <c r="L41" s="83"/>
      <c r="M41" s="442" t="s">
        <v>2504</v>
      </c>
      <c r="N41" s="454">
        <v>30740</v>
      </c>
      <c r="O41" s="442">
        <v>5</v>
      </c>
      <c r="P41" s="30">
        <v>0</v>
      </c>
      <c r="Q41" s="30">
        <v>30739.000000000004</v>
      </c>
      <c r="R41" s="30">
        <v>30739.000000000004</v>
      </c>
      <c r="S41" s="15">
        <f t="shared" si="3"/>
        <v>0</v>
      </c>
      <c r="T41" s="455">
        <f t="shared" si="1"/>
        <v>0.99999999999636202</v>
      </c>
      <c r="U41" s="442">
        <v>11552</v>
      </c>
      <c r="W41" s="44">
        <f t="shared" si="2"/>
        <v>60</v>
      </c>
    </row>
    <row r="42" spans="2:23" s="442" customFormat="1" ht="15.75" x14ac:dyDescent="0.25">
      <c r="B42" s="453" t="s">
        <v>2529</v>
      </c>
      <c r="C42" s="442" t="s">
        <v>2530</v>
      </c>
      <c r="F42" s="442" t="s">
        <v>2527</v>
      </c>
      <c r="G42" s="132" t="str">
        <f t="shared" si="0"/>
        <v>9/10/2008</v>
      </c>
      <c r="H42" s="442">
        <v>9</v>
      </c>
      <c r="I42" s="442">
        <v>10</v>
      </c>
      <c r="J42" s="442">
        <v>2008</v>
      </c>
      <c r="L42" s="83"/>
      <c r="M42" s="442" t="s">
        <v>2504</v>
      </c>
      <c r="N42" s="454">
        <v>2366.4</v>
      </c>
      <c r="O42" s="442">
        <v>5</v>
      </c>
      <c r="P42" s="30">
        <v>0</v>
      </c>
      <c r="Q42" s="30">
        <v>2365.4000000000005</v>
      </c>
      <c r="R42" s="30">
        <v>2365.4000000000005</v>
      </c>
      <c r="S42" s="15">
        <f t="shared" si="3"/>
        <v>0</v>
      </c>
      <c r="T42" s="455">
        <f t="shared" si="1"/>
        <v>0.99999999999954525</v>
      </c>
      <c r="U42" s="442">
        <v>11552</v>
      </c>
      <c r="W42" s="44">
        <f t="shared" si="2"/>
        <v>60</v>
      </c>
    </row>
    <row r="43" spans="2:23" s="442" customFormat="1" ht="15.75" x14ac:dyDescent="0.25">
      <c r="B43" s="453" t="s">
        <v>2529</v>
      </c>
      <c r="C43" s="442" t="s">
        <v>2530</v>
      </c>
      <c r="F43" s="442" t="s">
        <v>2527</v>
      </c>
      <c r="G43" s="132" t="str">
        <f t="shared" si="0"/>
        <v>9/10/2008</v>
      </c>
      <c r="H43" s="442">
        <v>9</v>
      </c>
      <c r="I43" s="442">
        <v>10</v>
      </c>
      <c r="J43" s="442">
        <v>2008</v>
      </c>
      <c r="L43" s="83"/>
      <c r="M43" s="442" t="s">
        <v>2504</v>
      </c>
      <c r="N43" s="454">
        <v>2366.4</v>
      </c>
      <c r="O43" s="442">
        <v>5</v>
      </c>
      <c r="P43" s="30">
        <v>0</v>
      </c>
      <c r="Q43" s="30">
        <v>2365.4000000000005</v>
      </c>
      <c r="R43" s="30">
        <v>2365.4000000000005</v>
      </c>
      <c r="S43" s="15">
        <f t="shared" si="3"/>
        <v>0</v>
      </c>
      <c r="T43" s="455">
        <f t="shared" si="1"/>
        <v>0.99999999999954525</v>
      </c>
      <c r="U43" s="442">
        <v>11552</v>
      </c>
      <c r="W43" s="44">
        <f t="shared" si="2"/>
        <v>60</v>
      </c>
    </row>
    <row r="44" spans="2:23" s="442" customFormat="1" ht="15.75" x14ac:dyDescent="0.25">
      <c r="B44" s="453" t="s">
        <v>2529</v>
      </c>
      <c r="C44" s="442" t="s">
        <v>2530</v>
      </c>
      <c r="F44" s="442" t="s">
        <v>2527</v>
      </c>
      <c r="G44" s="132" t="str">
        <f t="shared" si="0"/>
        <v>9/10/2008</v>
      </c>
      <c r="H44" s="442">
        <v>9</v>
      </c>
      <c r="I44" s="442">
        <v>10</v>
      </c>
      <c r="J44" s="442">
        <v>2008</v>
      </c>
      <c r="L44" s="83"/>
      <c r="M44" s="442" t="s">
        <v>2504</v>
      </c>
      <c r="N44" s="454">
        <v>2366.4</v>
      </c>
      <c r="O44" s="442">
        <v>5</v>
      </c>
      <c r="P44" s="30">
        <v>0</v>
      </c>
      <c r="Q44" s="30">
        <v>2365.4000000000005</v>
      </c>
      <c r="R44" s="30">
        <v>2365.4000000000005</v>
      </c>
      <c r="S44" s="15">
        <f t="shared" si="3"/>
        <v>0</v>
      </c>
      <c r="T44" s="455">
        <f t="shared" si="1"/>
        <v>0.99999999999954525</v>
      </c>
      <c r="U44" s="442">
        <v>11552</v>
      </c>
      <c r="W44" s="44">
        <f t="shared" si="2"/>
        <v>60</v>
      </c>
    </row>
    <row r="45" spans="2:23" s="442" customFormat="1" ht="15.75" x14ac:dyDescent="0.25">
      <c r="B45" s="453" t="s">
        <v>2529</v>
      </c>
      <c r="C45" s="442" t="s">
        <v>2530</v>
      </c>
      <c r="F45" s="442" t="s">
        <v>2527</v>
      </c>
      <c r="G45" s="132" t="str">
        <f t="shared" si="0"/>
        <v>9/10/2008</v>
      </c>
      <c r="H45" s="442">
        <v>9</v>
      </c>
      <c r="I45" s="442">
        <v>10</v>
      </c>
      <c r="J45" s="442">
        <v>2008</v>
      </c>
      <c r="L45" s="83"/>
      <c r="M45" s="442" t="s">
        <v>2504</v>
      </c>
      <c r="N45" s="454">
        <v>2366.4</v>
      </c>
      <c r="O45" s="442">
        <v>5</v>
      </c>
      <c r="P45" s="30">
        <v>0</v>
      </c>
      <c r="Q45" s="30">
        <v>2365.4000000000005</v>
      </c>
      <c r="R45" s="30">
        <v>2365.4000000000005</v>
      </c>
      <c r="S45" s="15">
        <f t="shared" si="3"/>
        <v>0</v>
      </c>
      <c r="T45" s="455">
        <f t="shared" si="1"/>
        <v>0.99999999999954525</v>
      </c>
      <c r="U45" s="442">
        <v>11552</v>
      </c>
      <c r="W45" s="44">
        <f t="shared" si="2"/>
        <v>60</v>
      </c>
    </row>
    <row r="46" spans="2:23" s="442" customFormat="1" ht="15.75" x14ac:dyDescent="0.25">
      <c r="B46" s="453" t="s">
        <v>2531</v>
      </c>
      <c r="F46" s="442" t="s">
        <v>2532</v>
      </c>
      <c r="G46" s="132" t="str">
        <f t="shared" si="0"/>
        <v>8/9/2008</v>
      </c>
      <c r="H46" s="442">
        <v>8</v>
      </c>
      <c r="I46" s="442">
        <v>9</v>
      </c>
      <c r="J46" s="442">
        <v>2008</v>
      </c>
      <c r="L46" s="83"/>
      <c r="M46" s="442" t="s">
        <v>2504</v>
      </c>
      <c r="N46" s="454">
        <v>5788.4</v>
      </c>
      <c r="O46" s="442">
        <v>5</v>
      </c>
      <c r="P46" s="30">
        <v>0</v>
      </c>
      <c r="Q46" s="30">
        <v>5787.4</v>
      </c>
      <c r="R46" s="30">
        <v>5787.4</v>
      </c>
      <c r="S46" s="15">
        <f t="shared" si="3"/>
        <v>0</v>
      </c>
      <c r="T46" s="455">
        <f t="shared" si="1"/>
        <v>1</v>
      </c>
      <c r="W46" s="44">
        <f t="shared" si="2"/>
        <v>60</v>
      </c>
    </row>
    <row r="47" spans="2:23" s="442" customFormat="1" ht="31.5" x14ac:dyDescent="0.25">
      <c r="B47" s="453" t="s">
        <v>2533</v>
      </c>
      <c r="F47" s="442" t="s">
        <v>2532</v>
      </c>
      <c r="G47" s="132" t="str">
        <f t="shared" si="0"/>
        <v>8/9/2008</v>
      </c>
      <c r="H47" s="442">
        <v>8</v>
      </c>
      <c r="I47" s="442">
        <v>9</v>
      </c>
      <c r="J47" s="442">
        <v>2008</v>
      </c>
      <c r="L47" s="83"/>
      <c r="M47" s="442" t="s">
        <v>2504</v>
      </c>
      <c r="N47" s="454">
        <v>27358.6</v>
      </c>
      <c r="O47" s="442">
        <v>5</v>
      </c>
      <c r="P47" s="30">
        <v>0</v>
      </c>
      <c r="Q47" s="30">
        <v>27357.599999999999</v>
      </c>
      <c r="R47" s="30">
        <v>27357.599999999999</v>
      </c>
      <c r="S47" s="15">
        <f t="shared" si="3"/>
        <v>0</v>
      </c>
      <c r="T47" s="455">
        <f t="shared" si="1"/>
        <v>1</v>
      </c>
      <c r="W47" s="44">
        <f t="shared" si="2"/>
        <v>60</v>
      </c>
    </row>
    <row r="48" spans="2:23" s="442" customFormat="1" ht="15.75" x14ac:dyDescent="0.25">
      <c r="B48" s="453" t="s">
        <v>2534</v>
      </c>
      <c r="F48" s="442" t="s">
        <v>2532</v>
      </c>
      <c r="G48" s="132" t="str">
        <f t="shared" si="0"/>
        <v>8/9/2008</v>
      </c>
      <c r="H48" s="442">
        <v>8</v>
      </c>
      <c r="I48" s="442">
        <v>9</v>
      </c>
      <c r="J48" s="442">
        <v>2008</v>
      </c>
      <c r="L48" s="83"/>
      <c r="M48" s="442" t="s">
        <v>2504</v>
      </c>
      <c r="N48" s="454">
        <v>46487</v>
      </c>
      <c r="O48" s="442">
        <v>5</v>
      </c>
      <c r="P48" s="30">
        <v>0</v>
      </c>
      <c r="Q48" s="30">
        <v>46486.000000000007</v>
      </c>
      <c r="R48" s="30">
        <v>46486.000000000007</v>
      </c>
      <c r="S48" s="15">
        <f t="shared" si="3"/>
        <v>0</v>
      </c>
      <c r="T48" s="455">
        <f t="shared" si="1"/>
        <v>0.99999999999272404</v>
      </c>
      <c r="W48" s="44">
        <f t="shared" si="2"/>
        <v>60</v>
      </c>
    </row>
    <row r="49" spans="1:23" s="442" customFormat="1" ht="15.75" x14ac:dyDescent="0.25">
      <c r="B49" s="453" t="s">
        <v>2535</v>
      </c>
      <c r="F49" s="442" t="s">
        <v>2532</v>
      </c>
      <c r="G49" s="132" t="str">
        <f t="shared" si="0"/>
        <v>8/9/2008</v>
      </c>
      <c r="H49" s="442">
        <v>8</v>
      </c>
      <c r="I49" s="442">
        <v>9</v>
      </c>
      <c r="J49" s="442">
        <v>2008</v>
      </c>
      <c r="L49" s="83"/>
      <c r="M49" s="442" t="s">
        <v>2504</v>
      </c>
      <c r="N49" s="454">
        <v>37700</v>
      </c>
      <c r="O49" s="442">
        <v>5</v>
      </c>
      <c r="P49" s="30">
        <v>0</v>
      </c>
      <c r="Q49" s="30">
        <v>37699</v>
      </c>
      <c r="R49" s="30">
        <v>37699</v>
      </c>
      <c r="S49" s="15">
        <f t="shared" si="3"/>
        <v>0</v>
      </c>
      <c r="T49" s="455">
        <f t="shared" si="1"/>
        <v>1</v>
      </c>
      <c r="W49" s="44">
        <f t="shared" si="2"/>
        <v>60</v>
      </c>
    </row>
    <row r="50" spans="1:23" s="442" customFormat="1" ht="15.75" x14ac:dyDescent="0.25">
      <c r="B50" s="453" t="s">
        <v>2536</v>
      </c>
      <c r="F50" s="442" t="s">
        <v>2532</v>
      </c>
      <c r="G50" s="132" t="str">
        <f t="shared" si="0"/>
        <v>8/9/2008</v>
      </c>
      <c r="H50" s="442">
        <v>8</v>
      </c>
      <c r="I50" s="442">
        <v>9</v>
      </c>
      <c r="J50" s="442">
        <v>2008</v>
      </c>
      <c r="L50" s="83"/>
      <c r="M50" s="442" t="s">
        <v>2504</v>
      </c>
      <c r="N50" s="454">
        <v>64588.800000000003</v>
      </c>
      <c r="O50" s="442">
        <v>5</v>
      </c>
      <c r="P50" s="30">
        <v>0</v>
      </c>
      <c r="Q50" s="30">
        <v>64587.8</v>
      </c>
      <c r="R50" s="30">
        <v>64587.8</v>
      </c>
      <c r="S50" s="15">
        <f t="shared" si="3"/>
        <v>0</v>
      </c>
      <c r="T50" s="455">
        <f t="shared" si="1"/>
        <v>1</v>
      </c>
      <c r="W50" s="44">
        <f t="shared" si="2"/>
        <v>60</v>
      </c>
    </row>
    <row r="51" spans="1:23" s="442" customFormat="1" ht="15.75" x14ac:dyDescent="0.25">
      <c r="B51" s="453" t="s">
        <v>2537</v>
      </c>
      <c r="F51" s="442" t="s">
        <v>2532</v>
      </c>
      <c r="G51" s="132" t="str">
        <f t="shared" si="0"/>
        <v>8/9/2008</v>
      </c>
      <c r="H51" s="442">
        <v>8</v>
      </c>
      <c r="I51" s="442">
        <v>9</v>
      </c>
      <c r="J51" s="442">
        <v>2008</v>
      </c>
      <c r="L51" s="83"/>
      <c r="M51" s="442" t="s">
        <v>2504</v>
      </c>
      <c r="N51" s="454">
        <v>37642</v>
      </c>
      <c r="O51" s="442">
        <v>5</v>
      </c>
      <c r="P51" s="30">
        <v>0</v>
      </c>
      <c r="Q51" s="30">
        <v>37641</v>
      </c>
      <c r="R51" s="30">
        <v>37641</v>
      </c>
      <c r="S51" s="15">
        <f t="shared" si="3"/>
        <v>0</v>
      </c>
      <c r="T51" s="455">
        <f t="shared" si="1"/>
        <v>1</v>
      </c>
      <c r="W51" s="44">
        <f t="shared" si="2"/>
        <v>60</v>
      </c>
    </row>
    <row r="52" spans="1:23" s="445" customFormat="1" ht="15.75" x14ac:dyDescent="0.25">
      <c r="A52" s="445" t="s">
        <v>428</v>
      </c>
      <c r="B52" s="453"/>
      <c r="G52" s="132"/>
      <c r="L52" s="461"/>
      <c r="N52" s="462">
        <f>SUM(N8:N51)</f>
        <v>677031.88000000012</v>
      </c>
      <c r="P52" s="462">
        <f>SUM(P8:P51)</f>
        <v>0</v>
      </c>
      <c r="Q52" s="462">
        <v>676987.88000000012</v>
      </c>
      <c r="R52" s="462">
        <f>SUM(R8:R51)</f>
        <v>676987.88000000012</v>
      </c>
      <c r="S52" s="462">
        <f>SUM(S8:S51)</f>
        <v>0</v>
      </c>
      <c r="T52" s="462">
        <f>SUM(T8:T51)</f>
        <v>43.999999999959527</v>
      </c>
      <c r="W52" s="44"/>
    </row>
    <row r="53" spans="1:23" s="442" customFormat="1" ht="15.75" x14ac:dyDescent="0.25">
      <c r="B53" s="453"/>
      <c r="G53" s="132"/>
      <c r="L53" s="83"/>
      <c r="N53" s="454"/>
      <c r="P53" s="455"/>
      <c r="Q53" s="455"/>
      <c r="R53" s="455"/>
      <c r="S53" s="455"/>
      <c r="W53" s="44"/>
    </row>
    <row r="54" spans="1:23" s="442" customFormat="1" ht="15.75" x14ac:dyDescent="0.25">
      <c r="B54" s="453" t="s">
        <v>2538</v>
      </c>
      <c r="C54" s="33" t="s">
        <v>2539</v>
      </c>
      <c r="D54" s="33"/>
      <c r="E54" s="33"/>
      <c r="F54" s="33" t="s">
        <v>2540</v>
      </c>
      <c r="G54" s="132" t="str">
        <f t="shared" si="0"/>
        <v>9/1/2009</v>
      </c>
      <c r="H54" s="33">
        <v>9</v>
      </c>
      <c r="I54" s="33">
        <v>1</v>
      </c>
      <c r="J54" s="33">
        <v>2009</v>
      </c>
      <c r="K54" s="33" t="s">
        <v>538</v>
      </c>
      <c r="L54" s="40">
        <v>19001</v>
      </c>
      <c r="M54" s="33" t="s">
        <v>2504</v>
      </c>
      <c r="N54" s="463">
        <v>9164</v>
      </c>
      <c r="O54" s="33">
        <v>5</v>
      </c>
      <c r="P54" s="30">
        <v>0</v>
      </c>
      <c r="Q54" s="5">
        <v>9163</v>
      </c>
      <c r="R54" s="5">
        <v>9163</v>
      </c>
      <c r="S54" s="15">
        <f t="shared" ref="S54:S59" si="4">R54-Q54</f>
        <v>0</v>
      </c>
      <c r="T54" s="455">
        <f t="shared" ref="T54:T59" si="5">N54-R54</f>
        <v>1</v>
      </c>
      <c r="W54" s="44">
        <f t="shared" ref="W54:W64" si="6">IF((DATEDIF(G54,W$5,"m"))&gt;=60,60,(DATEDIF(G54,W$5,"m")))</f>
        <v>60</v>
      </c>
    </row>
    <row r="55" spans="1:23" s="442" customFormat="1" ht="15.75" x14ac:dyDescent="0.25">
      <c r="B55" s="453" t="s">
        <v>2541</v>
      </c>
      <c r="C55" s="33" t="s">
        <v>2539</v>
      </c>
      <c r="D55" s="33"/>
      <c r="E55" s="33"/>
      <c r="F55" s="33" t="s">
        <v>2540</v>
      </c>
      <c r="G55" s="132" t="str">
        <f t="shared" si="0"/>
        <v>9/1/2009</v>
      </c>
      <c r="H55" s="33">
        <v>9</v>
      </c>
      <c r="I55" s="33">
        <v>1</v>
      </c>
      <c r="J55" s="33">
        <v>2009</v>
      </c>
      <c r="K55" s="33" t="s">
        <v>538</v>
      </c>
      <c r="L55" s="40">
        <v>19001</v>
      </c>
      <c r="M55" s="33" t="s">
        <v>2504</v>
      </c>
      <c r="N55" s="463">
        <v>9164</v>
      </c>
      <c r="O55" s="33">
        <v>5</v>
      </c>
      <c r="P55" s="30">
        <v>0</v>
      </c>
      <c r="Q55" s="5">
        <v>9163</v>
      </c>
      <c r="R55" s="5">
        <v>9163</v>
      </c>
      <c r="S55" s="15">
        <f t="shared" si="4"/>
        <v>0</v>
      </c>
      <c r="T55" s="455">
        <f t="shared" si="5"/>
        <v>1</v>
      </c>
      <c r="W55" s="44">
        <f t="shared" si="6"/>
        <v>60</v>
      </c>
    </row>
    <row r="56" spans="1:23" s="442" customFormat="1" ht="15.75" x14ac:dyDescent="0.25">
      <c r="B56" s="453" t="s">
        <v>2541</v>
      </c>
      <c r="C56" s="33" t="s">
        <v>2539</v>
      </c>
      <c r="D56" s="33"/>
      <c r="E56" s="33"/>
      <c r="F56" s="33" t="s">
        <v>2540</v>
      </c>
      <c r="G56" s="132" t="str">
        <f t="shared" si="0"/>
        <v>9/1/2009</v>
      </c>
      <c r="H56" s="33">
        <v>9</v>
      </c>
      <c r="I56" s="33">
        <v>1</v>
      </c>
      <c r="J56" s="33">
        <v>2009</v>
      </c>
      <c r="K56" s="33" t="s">
        <v>538</v>
      </c>
      <c r="L56" s="40">
        <v>19001</v>
      </c>
      <c r="M56" s="33" t="s">
        <v>2504</v>
      </c>
      <c r="N56" s="463">
        <v>9164</v>
      </c>
      <c r="O56" s="33">
        <v>5</v>
      </c>
      <c r="P56" s="30">
        <v>0</v>
      </c>
      <c r="Q56" s="5">
        <v>9163</v>
      </c>
      <c r="R56" s="5">
        <v>9163</v>
      </c>
      <c r="S56" s="15">
        <f t="shared" si="4"/>
        <v>0</v>
      </c>
      <c r="T56" s="455">
        <f t="shared" si="5"/>
        <v>1</v>
      </c>
      <c r="W56" s="44">
        <f t="shared" si="6"/>
        <v>60</v>
      </c>
    </row>
    <row r="57" spans="1:23" s="442" customFormat="1" ht="15.75" x14ac:dyDescent="0.25">
      <c r="B57" s="453" t="s">
        <v>2541</v>
      </c>
      <c r="C57" s="33" t="s">
        <v>2539</v>
      </c>
      <c r="D57" s="33"/>
      <c r="E57" s="33"/>
      <c r="F57" s="33" t="s">
        <v>2540</v>
      </c>
      <c r="G57" s="132" t="str">
        <f t="shared" si="0"/>
        <v>9/1/2009</v>
      </c>
      <c r="H57" s="33">
        <v>9</v>
      </c>
      <c r="I57" s="33">
        <v>1</v>
      </c>
      <c r="J57" s="33">
        <v>2009</v>
      </c>
      <c r="K57" s="33" t="s">
        <v>538</v>
      </c>
      <c r="L57" s="40">
        <v>19001</v>
      </c>
      <c r="M57" s="33" t="s">
        <v>2504</v>
      </c>
      <c r="N57" s="463">
        <v>9164</v>
      </c>
      <c r="O57" s="33">
        <v>5</v>
      </c>
      <c r="P57" s="30">
        <v>0</v>
      </c>
      <c r="Q57" s="5">
        <v>9163</v>
      </c>
      <c r="R57" s="5">
        <v>9163</v>
      </c>
      <c r="S57" s="15">
        <f t="shared" si="4"/>
        <v>0</v>
      </c>
      <c r="T57" s="455">
        <f t="shared" si="5"/>
        <v>1</v>
      </c>
      <c r="W57" s="44">
        <f t="shared" si="6"/>
        <v>60</v>
      </c>
    </row>
    <row r="58" spans="1:23" s="442" customFormat="1" ht="15.75" x14ac:dyDescent="0.25">
      <c r="B58" s="453" t="s">
        <v>2541</v>
      </c>
      <c r="C58" s="33" t="s">
        <v>2539</v>
      </c>
      <c r="D58" s="33"/>
      <c r="E58" s="33"/>
      <c r="F58" s="33" t="s">
        <v>2540</v>
      </c>
      <c r="G58" s="132" t="str">
        <f t="shared" si="0"/>
        <v>9/1/2009</v>
      </c>
      <c r="H58" s="33">
        <v>9</v>
      </c>
      <c r="I58" s="33">
        <v>1</v>
      </c>
      <c r="J58" s="33">
        <v>2009</v>
      </c>
      <c r="K58" s="33" t="s">
        <v>538</v>
      </c>
      <c r="L58" s="40">
        <v>19001</v>
      </c>
      <c r="M58" s="33" t="s">
        <v>2504</v>
      </c>
      <c r="N58" s="463">
        <v>9164</v>
      </c>
      <c r="O58" s="33">
        <v>5</v>
      </c>
      <c r="P58" s="30">
        <v>0</v>
      </c>
      <c r="Q58" s="5">
        <v>9163</v>
      </c>
      <c r="R58" s="5">
        <v>9163</v>
      </c>
      <c r="S58" s="15">
        <f t="shared" si="4"/>
        <v>0</v>
      </c>
      <c r="T58" s="455">
        <f t="shared" si="5"/>
        <v>1</v>
      </c>
      <c r="W58" s="44">
        <f t="shared" si="6"/>
        <v>60</v>
      </c>
    </row>
    <row r="59" spans="1:23" s="442" customFormat="1" ht="15.75" x14ac:dyDescent="0.25">
      <c r="B59" s="453" t="s">
        <v>2541</v>
      </c>
      <c r="C59" s="33" t="s">
        <v>2539</v>
      </c>
      <c r="D59" s="33"/>
      <c r="E59" s="33"/>
      <c r="F59" s="33" t="s">
        <v>2540</v>
      </c>
      <c r="G59" s="132" t="str">
        <f t="shared" si="0"/>
        <v>9/1/2009</v>
      </c>
      <c r="H59" s="33">
        <v>9</v>
      </c>
      <c r="I59" s="33">
        <v>1</v>
      </c>
      <c r="J59" s="33">
        <v>2009</v>
      </c>
      <c r="K59" s="33" t="s">
        <v>538</v>
      </c>
      <c r="L59" s="40">
        <v>19001</v>
      </c>
      <c r="M59" s="33" t="s">
        <v>2504</v>
      </c>
      <c r="N59" s="463">
        <v>9164</v>
      </c>
      <c r="O59" s="33">
        <v>5</v>
      </c>
      <c r="P59" s="30">
        <v>0</v>
      </c>
      <c r="Q59" s="5">
        <v>9163</v>
      </c>
      <c r="R59" s="5">
        <v>9163</v>
      </c>
      <c r="S59" s="15">
        <f t="shared" si="4"/>
        <v>0</v>
      </c>
      <c r="T59" s="455">
        <f t="shared" si="5"/>
        <v>1</v>
      </c>
      <c r="W59" s="44">
        <f t="shared" si="6"/>
        <v>60</v>
      </c>
    </row>
    <row r="60" spans="1:23" s="442" customFormat="1" ht="15.75" x14ac:dyDescent="0.25">
      <c r="A60" s="445" t="s">
        <v>531</v>
      </c>
      <c r="B60" s="453"/>
      <c r="G60" s="132"/>
      <c r="L60" s="83"/>
      <c r="N60" s="464">
        <f>SUM(N54:N59)</f>
        <v>54984</v>
      </c>
      <c r="P60" s="464">
        <f>SUM(P54:P59)</f>
        <v>0</v>
      </c>
      <c r="Q60" s="464">
        <v>54978</v>
      </c>
      <c r="R60" s="464">
        <f>SUM(R54:R59)</f>
        <v>54978</v>
      </c>
      <c r="S60" s="464">
        <f>SUM(S54:S59)</f>
        <v>0</v>
      </c>
      <c r="T60" s="464">
        <f>SUM(T54:T59)</f>
        <v>6</v>
      </c>
      <c r="W60" s="44"/>
    </row>
    <row r="61" spans="1:23" s="442" customFormat="1" ht="15.75" x14ac:dyDescent="0.25">
      <c r="A61" s="445"/>
      <c r="B61" s="453"/>
      <c r="G61" s="132"/>
      <c r="L61" s="83"/>
      <c r="N61" s="465"/>
      <c r="P61" s="465"/>
      <c r="Q61" s="465"/>
      <c r="R61" s="465"/>
      <c r="S61" s="465"/>
      <c r="T61" s="465"/>
      <c r="W61" s="44"/>
    </row>
    <row r="62" spans="1:23" s="442" customFormat="1" ht="15.75" x14ac:dyDescent="0.25">
      <c r="A62" s="445"/>
      <c r="B62" s="453" t="s">
        <v>2542</v>
      </c>
      <c r="F62" s="442" t="s">
        <v>2543</v>
      </c>
      <c r="G62" s="132" t="str">
        <f t="shared" si="0"/>
        <v>14/4/2011</v>
      </c>
      <c r="H62" s="33">
        <v>14</v>
      </c>
      <c r="I62" s="33">
        <v>4</v>
      </c>
      <c r="J62" s="33">
        <v>2011</v>
      </c>
      <c r="L62" s="83"/>
      <c r="N62" s="88">
        <v>15000.01</v>
      </c>
      <c r="O62" s="33">
        <v>5</v>
      </c>
      <c r="P62" s="455">
        <f>(N62/O62)/12</f>
        <v>250.00016666666667</v>
      </c>
      <c r="Q62" s="5">
        <v>14000.009333333333</v>
      </c>
      <c r="R62" s="455">
        <f>P62*W62</f>
        <v>14250.0095</v>
      </c>
      <c r="S62" s="15">
        <f>R62-Q62</f>
        <v>250.0001666666667</v>
      </c>
      <c r="T62" s="455">
        <f>N62-R62</f>
        <v>750.0005000000001</v>
      </c>
      <c r="U62" s="52">
        <v>15407</v>
      </c>
      <c r="W62" s="44">
        <f t="shared" si="6"/>
        <v>57</v>
      </c>
    </row>
    <row r="63" spans="1:23" s="442" customFormat="1" ht="15.75" x14ac:dyDescent="0.25">
      <c r="A63" s="445"/>
      <c r="B63" s="453" t="s">
        <v>2544</v>
      </c>
      <c r="F63" s="442" t="s">
        <v>2543</v>
      </c>
      <c r="G63" s="132" t="str">
        <f t="shared" si="0"/>
        <v>14/4/2011</v>
      </c>
      <c r="H63" s="33">
        <v>14</v>
      </c>
      <c r="I63" s="33">
        <v>4</v>
      </c>
      <c r="J63" s="33">
        <v>2011</v>
      </c>
      <c r="L63" s="83"/>
      <c r="N63" s="88">
        <v>2159.5700000000002</v>
      </c>
      <c r="O63" s="33">
        <v>5</v>
      </c>
      <c r="P63" s="455">
        <f>(N63/O63)/12</f>
        <v>35.992833333333337</v>
      </c>
      <c r="Q63" s="5">
        <v>2015.5986666666668</v>
      </c>
      <c r="R63" s="455">
        <f>P63*W63</f>
        <v>2051.5915</v>
      </c>
      <c r="S63" s="15">
        <f>R63-Q63</f>
        <v>35.992833333333238</v>
      </c>
      <c r="T63" s="455">
        <f>N63-R63</f>
        <v>107.97850000000017</v>
      </c>
      <c r="U63" s="52">
        <v>15407</v>
      </c>
      <c r="W63" s="44">
        <f t="shared" si="6"/>
        <v>57</v>
      </c>
    </row>
    <row r="64" spans="1:23" s="442" customFormat="1" ht="15.75" x14ac:dyDescent="0.25">
      <c r="A64" s="445"/>
      <c r="B64" s="453" t="s">
        <v>2545</v>
      </c>
      <c r="F64" s="442" t="s">
        <v>2543</v>
      </c>
      <c r="G64" s="132" t="str">
        <f t="shared" si="0"/>
        <v>14/4/2011</v>
      </c>
      <c r="H64" s="33">
        <v>14</v>
      </c>
      <c r="I64" s="33">
        <v>4</v>
      </c>
      <c r="J64" s="33">
        <v>2011</v>
      </c>
      <c r="L64" s="83"/>
      <c r="N64" s="88">
        <v>20648</v>
      </c>
      <c r="O64" s="33">
        <v>5</v>
      </c>
      <c r="P64" s="455">
        <f>(N64/O64)/12</f>
        <v>344.13333333333338</v>
      </c>
      <c r="Q64" s="5">
        <v>19271.466666666671</v>
      </c>
      <c r="R64" s="455">
        <f>P64*W64</f>
        <v>19615.600000000002</v>
      </c>
      <c r="S64" s="15">
        <f>R64-Q64</f>
        <v>344.13333333333139</v>
      </c>
      <c r="T64" s="455">
        <f>N64-R64</f>
        <v>1032.3999999999978</v>
      </c>
      <c r="U64" s="52">
        <v>15407</v>
      </c>
      <c r="W64" s="44">
        <f t="shared" si="6"/>
        <v>57</v>
      </c>
    </row>
    <row r="65" spans="1:23" s="445" customFormat="1" ht="15.75" x14ac:dyDescent="0.25">
      <c r="A65" s="445" t="s">
        <v>684</v>
      </c>
      <c r="B65" s="55"/>
      <c r="L65" s="461"/>
      <c r="N65" s="464">
        <f>SUM(N62:N64)</f>
        <v>37807.58</v>
      </c>
      <c r="P65" s="466">
        <f>SUM(P62:P64)</f>
        <v>630.12633333333338</v>
      </c>
      <c r="Q65" s="466">
        <v>35287.074666666667</v>
      </c>
      <c r="R65" s="466">
        <f>SUM(R62:R64)</f>
        <v>35917.201000000001</v>
      </c>
      <c r="S65" s="466">
        <f>SUM(S62:S64)</f>
        <v>630.12633333333133</v>
      </c>
      <c r="T65" s="466">
        <f>SUM(T62:T64)</f>
        <v>1890.3789999999981</v>
      </c>
      <c r="W65" s="44"/>
    </row>
    <row r="66" spans="1:23" s="442" customFormat="1" ht="15.75" x14ac:dyDescent="0.25">
      <c r="B66" s="33"/>
      <c r="L66" s="83"/>
      <c r="N66" s="467"/>
      <c r="P66" s="455"/>
      <c r="Q66" s="455"/>
      <c r="R66" s="455"/>
      <c r="S66" s="455"/>
      <c r="T66" s="455"/>
      <c r="W66" s="44"/>
    </row>
    <row r="67" spans="1:23" s="445" customFormat="1" ht="15.75" x14ac:dyDescent="0.25">
      <c r="A67" s="105" t="s">
        <v>686</v>
      </c>
      <c r="B67" s="55"/>
      <c r="L67" s="461"/>
      <c r="N67" s="468">
        <f>+N65+N60+N52</f>
        <v>769823.46000000008</v>
      </c>
      <c r="P67" s="468">
        <f>+P65+P60+P52</f>
        <v>630.12633333333338</v>
      </c>
      <c r="Q67" s="468">
        <v>767252.9546666668</v>
      </c>
      <c r="R67" s="468">
        <f>+R65+R60+R52</f>
        <v>767883.08100000012</v>
      </c>
      <c r="S67" s="468">
        <f>+S65+S60+S52</f>
        <v>630.12633333333133</v>
      </c>
      <c r="T67" s="468">
        <f>+T65+T60+T52</f>
        <v>1940.3789999999576</v>
      </c>
      <c r="W67" s="469"/>
    </row>
    <row r="68" spans="1:23" s="442" customFormat="1" ht="15.75" x14ac:dyDescent="0.25">
      <c r="B68" s="33"/>
      <c r="L68" s="83"/>
      <c r="N68" s="467"/>
      <c r="P68" s="455"/>
      <c r="Q68" s="455"/>
      <c r="R68" s="455"/>
      <c r="S68" s="455"/>
      <c r="T68" s="455"/>
      <c r="W68" s="44"/>
    </row>
    <row r="69" spans="1:23" s="442" customFormat="1" ht="15.75" x14ac:dyDescent="0.25">
      <c r="B69" s="33" t="s">
        <v>2546</v>
      </c>
      <c r="F69" s="442" t="s">
        <v>2547</v>
      </c>
      <c r="G69" s="470">
        <v>41110</v>
      </c>
      <c r="H69" s="442">
        <v>20</v>
      </c>
      <c r="I69" s="442">
        <v>7</v>
      </c>
      <c r="J69" s="442">
        <v>2012</v>
      </c>
      <c r="K69" s="33" t="s">
        <v>538</v>
      </c>
      <c r="L69" s="83" t="s">
        <v>2548</v>
      </c>
      <c r="M69" s="33" t="s">
        <v>2504</v>
      </c>
      <c r="N69" s="467">
        <f>17500*1.16</f>
        <v>20300</v>
      </c>
      <c r="O69" s="33">
        <v>5</v>
      </c>
      <c r="P69" s="455">
        <f>(N69/O69)/12</f>
        <v>338.33333333333331</v>
      </c>
      <c r="Q69" s="5">
        <v>13871.666666666666</v>
      </c>
      <c r="R69" s="455">
        <f t="shared" ref="R69:R90" si="7">P69*W69</f>
        <v>14210</v>
      </c>
      <c r="S69" s="15">
        <f t="shared" ref="S69:S90" si="8">R69-Q69</f>
        <v>338.33333333333394</v>
      </c>
      <c r="T69" s="455">
        <f t="shared" ref="T69:T90" si="9">N69-R69</f>
        <v>6090</v>
      </c>
      <c r="U69" s="442">
        <v>17271</v>
      </c>
      <c r="W69" s="44">
        <f t="shared" ref="W69:W90" si="10">IF((DATEDIF(G69,W$5,"m"))&gt;=60,60,(DATEDIF(G69,W$5,"m")))</f>
        <v>42</v>
      </c>
    </row>
    <row r="70" spans="1:23" s="442" customFormat="1" ht="15.75" x14ac:dyDescent="0.25">
      <c r="B70" s="33" t="s">
        <v>2546</v>
      </c>
      <c r="F70" s="442" t="s">
        <v>2547</v>
      </c>
      <c r="G70" s="470">
        <v>41110</v>
      </c>
      <c r="H70" s="442">
        <v>20</v>
      </c>
      <c r="I70" s="442">
        <v>7</v>
      </c>
      <c r="J70" s="442">
        <v>2012</v>
      </c>
      <c r="K70" s="33" t="s">
        <v>538</v>
      </c>
      <c r="L70" s="83" t="s">
        <v>2548</v>
      </c>
      <c r="M70" s="33" t="s">
        <v>2504</v>
      </c>
      <c r="N70" s="467">
        <f>17500*1.16</f>
        <v>20300</v>
      </c>
      <c r="O70" s="33">
        <v>5</v>
      </c>
      <c r="P70" s="455">
        <f t="shared" ref="P70:P90" si="11">(N70/O70)/12</f>
        <v>338.33333333333331</v>
      </c>
      <c r="Q70" s="5">
        <v>13871.666666666666</v>
      </c>
      <c r="R70" s="455">
        <f t="shared" si="7"/>
        <v>14210</v>
      </c>
      <c r="S70" s="15">
        <f t="shared" si="8"/>
        <v>338.33333333333394</v>
      </c>
      <c r="T70" s="455">
        <f t="shared" si="9"/>
        <v>6090</v>
      </c>
      <c r="U70" s="442">
        <v>17271</v>
      </c>
      <c r="W70" s="44">
        <f t="shared" si="10"/>
        <v>42</v>
      </c>
    </row>
    <row r="71" spans="1:23" s="442" customFormat="1" ht="15.75" x14ac:dyDescent="0.25">
      <c r="B71" s="33" t="s">
        <v>2546</v>
      </c>
      <c r="F71" s="442" t="s">
        <v>2547</v>
      </c>
      <c r="G71" s="470">
        <v>41110</v>
      </c>
      <c r="H71" s="442">
        <v>20</v>
      </c>
      <c r="I71" s="442">
        <v>7</v>
      </c>
      <c r="J71" s="442">
        <v>2012</v>
      </c>
      <c r="K71" s="33" t="s">
        <v>538</v>
      </c>
      <c r="L71" s="83" t="s">
        <v>2548</v>
      </c>
      <c r="M71" s="33" t="s">
        <v>2504</v>
      </c>
      <c r="N71" s="467">
        <f>17500*1.16</f>
        <v>20300</v>
      </c>
      <c r="O71" s="33">
        <v>5</v>
      </c>
      <c r="P71" s="455">
        <f t="shared" si="11"/>
        <v>338.33333333333331</v>
      </c>
      <c r="Q71" s="5">
        <v>13871.666666666666</v>
      </c>
      <c r="R71" s="455">
        <f t="shared" si="7"/>
        <v>14210</v>
      </c>
      <c r="S71" s="15">
        <f t="shared" si="8"/>
        <v>338.33333333333394</v>
      </c>
      <c r="T71" s="455">
        <f t="shared" si="9"/>
        <v>6090</v>
      </c>
      <c r="U71" s="442">
        <v>17271</v>
      </c>
      <c r="W71" s="44">
        <f t="shared" si="10"/>
        <v>42</v>
      </c>
    </row>
    <row r="72" spans="1:23" s="442" customFormat="1" ht="15.75" x14ac:dyDescent="0.25">
      <c r="B72" s="33" t="s">
        <v>2549</v>
      </c>
      <c r="F72" s="442" t="s">
        <v>2550</v>
      </c>
      <c r="G72" s="470">
        <v>41110</v>
      </c>
      <c r="H72" s="442">
        <v>20</v>
      </c>
      <c r="I72" s="442">
        <v>7</v>
      </c>
      <c r="J72" s="442">
        <v>2012</v>
      </c>
      <c r="K72" s="33" t="s">
        <v>538</v>
      </c>
      <c r="L72" s="83" t="s">
        <v>2551</v>
      </c>
      <c r="M72" s="33" t="s">
        <v>2504</v>
      </c>
      <c r="N72" s="467">
        <f>850*1.16</f>
        <v>985.99999999999989</v>
      </c>
      <c r="O72" s="33">
        <v>5</v>
      </c>
      <c r="P72" s="455">
        <f t="shared" si="11"/>
        <v>16.433333333333334</v>
      </c>
      <c r="Q72" s="5">
        <v>673.76666666666665</v>
      </c>
      <c r="R72" s="455">
        <f t="shared" si="7"/>
        <v>690.2</v>
      </c>
      <c r="S72" s="15">
        <f t="shared" si="8"/>
        <v>16.433333333333394</v>
      </c>
      <c r="T72" s="455">
        <f t="shared" si="9"/>
        <v>295.79999999999984</v>
      </c>
      <c r="U72" s="442">
        <v>17316</v>
      </c>
      <c r="W72" s="44">
        <f t="shared" si="10"/>
        <v>42</v>
      </c>
    </row>
    <row r="73" spans="1:23" s="442" customFormat="1" ht="15.75" x14ac:dyDescent="0.25">
      <c r="B73" s="33" t="s">
        <v>2549</v>
      </c>
      <c r="F73" s="442" t="s">
        <v>2550</v>
      </c>
      <c r="G73" s="470">
        <v>41110</v>
      </c>
      <c r="H73" s="442">
        <v>20</v>
      </c>
      <c r="I73" s="442">
        <v>7</v>
      </c>
      <c r="J73" s="442">
        <v>2012</v>
      </c>
      <c r="K73" s="33" t="s">
        <v>538</v>
      </c>
      <c r="L73" s="83" t="s">
        <v>2551</v>
      </c>
      <c r="M73" s="33" t="s">
        <v>2504</v>
      </c>
      <c r="N73" s="467">
        <f>850*1.16</f>
        <v>985.99999999999989</v>
      </c>
      <c r="O73" s="33">
        <v>5</v>
      </c>
      <c r="P73" s="455">
        <f t="shared" si="11"/>
        <v>16.433333333333334</v>
      </c>
      <c r="Q73" s="5">
        <v>673.76666666666665</v>
      </c>
      <c r="R73" s="455">
        <f t="shared" si="7"/>
        <v>690.2</v>
      </c>
      <c r="S73" s="15">
        <f t="shared" si="8"/>
        <v>16.433333333333394</v>
      </c>
      <c r="T73" s="455">
        <f t="shared" si="9"/>
        <v>295.79999999999984</v>
      </c>
      <c r="U73" s="442">
        <v>17316</v>
      </c>
      <c r="W73" s="44">
        <f t="shared" si="10"/>
        <v>42</v>
      </c>
    </row>
    <row r="74" spans="1:23" s="442" customFormat="1" ht="15.75" x14ac:dyDescent="0.25">
      <c r="B74" s="33" t="s">
        <v>2549</v>
      </c>
      <c r="F74" s="442" t="s">
        <v>2550</v>
      </c>
      <c r="G74" s="470">
        <v>41110</v>
      </c>
      <c r="H74" s="442">
        <v>20</v>
      </c>
      <c r="I74" s="442">
        <v>7</v>
      </c>
      <c r="J74" s="442">
        <v>2012</v>
      </c>
      <c r="K74" s="33" t="s">
        <v>538</v>
      </c>
      <c r="L74" s="83" t="s">
        <v>2551</v>
      </c>
      <c r="M74" s="33" t="s">
        <v>2504</v>
      </c>
      <c r="N74" s="467">
        <f>850*1.16</f>
        <v>985.99999999999989</v>
      </c>
      <c r="O74" s="33">
        <v>5</v>
      </c>
      <c r="P74" s="455">
        <f t="shared" si="11"/>
        <v>16.433333333333334</v>
      </c>
      <c r="Q74" s="5">
        <v>673.76666666666665</v>
      </c>
      <c r="R74" s="455">
        <f t="shared" si="7"/>
        <v>690.2</v>
      </c>
      <c r="S74" s="15">
        <f t="shared" si="8"/>
        <v>16.433333333333394</v>
      </c>
      <c r="T74" s="455">
        <f t="shared" si="9"/>
        <v>295.79999999999984</v>
      </c>
      <c r="U74" s="442">
        <v>17316</v>
      </c>
      <c r="W74" s="44">
        <f t="shared" si="10"/>
        <v>42</v>
      </c>
    </row>
    <row r="75" spans="1:23" s="442" customFormat="1" ht="15.75" x14ac:dyDescent="0.25">
      <c r="B75" s="33" t="s">
        <v>2549</v>
      </c>
      <c r="F75" s="442" t="s">
        <v>2550</v>
      </c>
      <c r="G75" s="470">
        <v>41110</v>
      </c>
      <c r="H75" s="442">
        <v>20</v>
      </c>
      <c r="I75" s="442">
        <v>7</v>
      </c>
      <c r="J75" s="442">
        <v>2012</v>
      </c>
      <c r="K75" s="33" t="s">
        <v>538</v>
      </c>
      <c r="L75" s="83" t="s">
        <v>2551</v>
      </c>
      <c r="M75" s="33" t="s">
        <v>2504</v>
      </c>
      <c r="N75" s="467">
        <f>850*1.16</f>
        <v>985.99999999999989</v>
      </c>
      <c r="O75" s="33">
        <v>5</v>
      </c>
      <c r="P75" s="455">
        <f t="shared" si="11"/>
        <v>16.433333333333334</v>
      </c>
      <c r="Q75" s="5">
        <v>673.76666666666665</v>
      </c>
      <c r="R75" s="455">
        <f t="shared" si="7"/>
        <v>690.2</v>
      </c>
      <c r="S75" s="15">
        <f t="shared" si="8"/>
        <v>16.433333333333394</v>
      </c>
      <c r="T75" s="455">
        <f t="shared" si="9"/>
        <v>295.79999999999984</v>
      </c>
      <c r="U75" s="442">
        <v>17316</v>
      </c>
      <c r="W75" s="44">
        <f t="shared" si="10"/>
        <v>42</v>
      </c>
    </row>
    <row r="76" spans="1:23" s="442" customFormat="1" ht="15.75" x14ac:dyDescent="0.25">
      <c r="B76" s="33" t="s">
        <v>2549</v>
      </c>
      <c r="F76" s="442" t="s">
        <v>2550</v>
      </c>
      <c r="G76" s="470">
        <v>41110</v>
      </c>
      <c r="H76" s="442">
        <v>20</v>
      </c>
      <c r="I76" s="442">
        <v>7</v>
      </c>
      <c r="J76" s="442">
        <v>2012</v>
      </c>
      <c r="K76" s="33" t="s">
        <v>538</v>
      </c>
      <c r="L76" s="83" t="s">
        <v>2551</v>
      </c>
      <c r="M76" s="33" t="s">
        <v>2504</v>
      </c>
      <c r="N76" s="467">
        <f>850*1.16</f>
        <v>985.99999999999989</v>
      </c>
      <c r="O76" s="33">
        <v>5</v>
      </c>
      <c r="P76" s="455">
        <f t="shared" si="11"/>
        <v>16.433333333333334</v>
      </c>
      <c r="Q76" s="5">
        <v>673.76666666666665</v>
      </c>
      <c r="R76" s="455">
        <f t="shared" si="7"/>
        <v>690.2</v>
      </c>
      <c r="S76" s="15">
        <f t="shared" si="8"/>
        <v>16.433333333333394</v>
      </c>
      <c r="T76" s="455">
        <f t="shared" si="9"/>
        <v>295.79999999999984</v>
      </c>
      <c r="U76" s="442">
        <v>17316</v>
      </c>
      <c r="W76" s="44">
        <f t="shared" si="10"/>
        <v>42</v>
      </c>
    </row>
    <row r="77" spans="1:23" s="442" customFormat="1" ht="15.75" x14ac:dyDescent="0.25">
      <c r="B77" s="33" t="s">
        <v>2552</v>
      </c>
      <c r="F77" s="442" t="s">
        <v>2550</v>
      </c>
      <c r="G77" s="470">
        <v>41110</v>
      </c>
      <c r="H77" s="442">
        <v>20</v>
      </c>
      <c r="I77" s="442">
        <v>7</v>
      </c>
      <c r="J77" s="442">
        <v>2012</v>
      </c>
      <c r="K77" s="33" t="s">
        <v>538</v>
      </c>
      <c r="L77" s="83" t="s">
        <v>2551</v>
      </c>
      <c r="M77" s="33" t="s">
        <v>2504</v>
      </c>
      <c r="N77" s="467">
        <f t="shared" ref="N77:N82" si="12">1200*1.16</f>
        <v>1392</v>
      </c>
      <c r="O77" s="33">
        <v>5</v>
      </c>
      <c r="P77" s="455">
        <f t="shared" si="11"/>
        <v>23.2</v>
      </c>
      <c r="Q77" s="5">
        <v>951.19999999999993</v>
      </c>
      <c r="R77" s="455">
        <f t="shared" si="7"/>
        <v>974.4</v>
      </c>
      <c r="S77" s="15">
        <f t="shared" si="8"/>
        <v>23.200000000000045</v>
      </c>
      <c r="T77" s="455">
        <f t="shared" si="9"/>
        <v>417.6</v>
      </c>
      <c r="U77" s="442">
        <v>17316</v>
      </c>
      <c r="W77" s="44">
        <f t="shared" si="10"/>
        <v>42</v>
      </c>
    </row>
    <row r="78" spans="1:23" s="442" customFormat="1" ht="15.75" x14ac:dyDescent="0.25">
      <c r="B78" s="33" t="s">
        <v>2552</v>
      </c>
      <c r="F78" s="442" t="s">
        <v>2550</v>
      </c>
      <c r="G78" s="470">
        <v>41110</v>
      </c>
      <c r="H78" s="442">
        <v>20</v>
      </c>
      <c r="I78" s="442">
        <v>7</v>
      </c>
      <c r="J78" s="442">
        <v>2012</v>
      </c>
      <c r="K78" s="33" t="s">
        <v>538</v>
      </c>
      <c r="L78" s="83" t="s">
        <v>2551</v>
      </c>
      <c r="M78" s="33" t="s">
        <v>2504</v>
      </c>
      <c r="N78" s="467">
        <f t="shared" si="12"/>
        <v>1392</v>
      </c>
      <c r="O78" s="33">
        <v>5</v>
      </c>
      <c r="P78" s="455">
        <f t="shared" si="11"/>
        <v>23.2</v>
      </c>
      <c r="Q78" s="5">
        <v>951.19999999999993</v>
      </c>
      <c r="R78" s="455">
        <f t="shared" si="7"/>
        <v>974.4</v>
      </c>
      <c r="S78" s="15">
        <f t="shared" si="8"/>
        <v>23.200000000000045</v>
      </c>
      <c r="T78" s="455">
        <f t="shared" si="9"/>
        <v>417.6</v>
      </c>
      <c r="U78" s="442">
        <v>17316</v>
      </c>
      <c r="W78" s="44">
        <f t="shared" si="10"/>
        <v>42</v>
      </c>
    </row>
    <row r="79" spans="1:23" s="442" customFormat="1" ht="15.75" x14ac:dyDescent="0.25">
      <c r="B79" s="33" t="s">
        <v>2552</v>
      </c>
      <c r="F79" s="442" t="s">
        <v>2550</v>
      </c>
      <c r="G79" s="470">
        <v>41110</v>
      </c>
      <c r="H79" s="442">
        <v>20</v>
      </c>
      <c r="I79" s="442">
        <v>7</v>
      </c>
      <c r="J79" s="442">
        <v>2012</v>
      </c>
      <c r="K79" s="33" t="s">
        <v>538</v>
      </c>
      <c r="L79" s="83" t="s">
        <v>2551</v>
      </c>
      <c r="M79" s="33" t="s">
        <v>2504</v>
      </c>
      <c r="N79" s="467">
        <f t="shared" si="12"/>
        <v>1392</v>
      </c>
      <c r="O79" s="33">
        <v>5</v>
      </c>
      <c r="P79" s="455">
        <f t="shared" si="11"/>
        <v>23.2</v>
      </c>
      <c r="Q79" s="5">
        <v>951.19999999999993</v>
      </c>
      <c r="R79" s="455">
        <f t="shared" si="7"/>
        <v>974.4</v>
      </c>
      <c r="S79" s="15">
        <f t="shared" si="8"/>
        <v>23.200000000000045</v>
      </c>
      <c r="T79" s="455">
        <f t="shared" si="9"/>
        <v>417.6</v>
      </c>
      <c r="U79" s="442">
        <v>17316</v>
      </c>
      <c r="W79" s="44">
        <f t="shared" si="10"/>
        <v>42</v>
      </c>
    </row>
    <row r="80" spans="1:23" s="442" customFormat="1" ht="15.75" x14ac:dyDescent="0.25">
      <c r="B80" s="33" t="s">
        <v>2552</v>
      </c>
      <c r="F80" s="442" t="s">
        <v>2550</v>
      </c>
      <c r="G80" s="470">
        <v>41110</v>
      </c>
      <c r="H80" s="442">
        <v>20</v>
      </c>
      <c r="I80" s="442">
        <v>7</v>
      </c>
      <c r="J80" s="442">
        <v>2012</v>
      </c>
      <c r="K80" s="33" t="s">
        <v>538</v>
      </c>
      <c r="L80" s="83" t="s">
        <v>2551</v>
      </c>
      <c r="M80" s="33" t="s">
        <v>2504</v>
      </c>
      <c r="N80" s="467">
        <f t="shared" si="12"/>
        <v>1392</v>
      </c>
      <c r="O80" s="33">
        <v>5</v>
      </c>
      <c r="P80" s="455">
        <f t="shared" si="11"/>
        <v>23.2</v>
      </c>
      <c r="Q80" s="5">
        <v>951.19999999999993</v>
      </c>
      <c r="R80" s="455">
        <f t="shared" si="7"/>
        <v>974.4</v>
      </c>
      <c r="S80" s="15">
        <f t="shared" si="8"/>
        <v>23.200000000000045</v>
      </c>
      <c r="T80" s="455">
        <f t="shared" si="9"/>
        <v>417.6</v>
      </c>
      <c r="U80" s="442">
        <v>17316</v>
      </c>
      <c r="W80" s="44">
        <f t="shared" si="10"/>
        <v>42</v>
      </c>
    </row>
    <row r="81" spans="1:23" s="442" customFormat="1" ht="15.75" x14ac:dyDescent="0.25">
      <c r="B81" s="33" t="s">
        <v>2552</v>
      </c>
      <c r="F81" s="442" t="s">
        <v>2550</v>
      </c>
      <c r="G81" s="470">
        <v>41110</v>
      </c>
      <c r="H81" s="442">
        <v>20</v>
      </c>
      <c r="I81" s="442">
        <v>7</v>
      </c>
      <c r="J81" s="442">
        <v>2012</v>
      </c>
      <c r="K81" s="33" t="s">
        <v>538</v>
      </c>
      <c r="L81" s="83" t="s">
        <v>2551</v>
      </c>
      <c r="M81" s="33" t="s">
        <v>2504</v>
      </c>
      <c r="N81" s="467">
        <f t="shared" si="12"/>
        <v>1392</v>
      </c>
      <c r="O81" s="33">
        <v>5</v>
      </c>
      <c r="P81" s="455">
        <f t="shared" si="11"/>
        <v>23.2</v>
      </c>
      <c r="Q81" s="5">
        <v>951.19999999999993</v>
      </c>
      <c r="R81" s="455">
        <f t="shared" si="7"/>
        <v>974.4</v>
      </c>
      <c r="S81" s="15">
        <f t="shared" si="8"/>
        <v>23.200000000000045</v>
      </c>
      <c r="T81" s="455">
        <f t="shared" si="9"/>
        <v>417.6</v>
      </c>
      <c r="U81" s="442">
        <v>17316</v>
      </c>
      <c r="W81" s="44">
        <f t="shared" si="10"/>
        <v>42</v>
      </c>
    </row>
    <row r="82" spans="1:23" s="442" customFormat="1" ht="15.75" x14ac:dyDescent="0.25">
      <c r="B82" s="33" t="s">
        <v>2552</v>
      </c>
      <c r="F82" s="442" t="s">
        <v>2550</v>
      </c>
      <c r="G82" s="470">
        <v>41110</v>
      </c>
      <c r="H82" s="442">
        <v>20</v>
      </c>
      <c r="I82" s="442">
        <v>7</v>
      </c>
      <c r="J82" s="442">
        <v>2012</v>
      </c>
      <c r="K82" s="33" t="s">
        <v>538</v>
      </c>
      <c r="L82" s="83" t="s">
        <v>2551</v>
      </c>
      <c r="M82" s="33" t="s">
        <v>2504</v>
      </c>
      <c r="N82" s="467">
        <f t="shared" si="12"/>
        <v>1392</v>
      </c>
      <c r="O82" s="33">
        <v>5</v>
      </c>
      <c r="P82" s="455">
        <f t="shared" si="11"/>
        <v>23.2</v>
      </c>
      <c r="Q82" s="5">
        <v>951.19999999999993</v>
      </c>
      <c r="R82" s="455">
        <f t="shared" si="7"/>
        <v>974.4</v>
      </c>
      <c r="S82" s="15">
        <f t="shared" si="8"/>
        <v>23.200000000000045</v>
      </c>
      <c r="T82" s="455">
        <f t="shared" si="9"/>
        <v>417.6</v>
      </c>
      <c r="U82" s="442">
        <v>17316</v>
      </c>
      <c r="W82" s="44">
        <f t="shared" si="10"/>
        <v>42</v>
      </c>
    </row>
    <row r="83" spans="1:23" s="442" customFormat="1" ht="15.75" x14ac:dyDescent="0.25">
      <c r="B83" s="33" t="s">
        <v>2553</v>
      </c>
      <c r="F83" s="442" t="s">
        <v>2550</v>
      </c>
      <c r="G83" s="470">
        <v>41110</v>
      </c>
      <c r="H83" s="442">
        <v>20</v>
      </c>
      <c r="I83" s="442">
        <v>7</v>
      </c>
      <c r="J83" s="442">
        <v>2012</v>
      </c>
      <c r="K83" s="33" t="s">
        <v>538</v>
      </c>
      <c r="L83" s="83" t="s">
        <v>2551</v>
      </c>
      <c r="M83" s="33" t="s">
        <v>2504</v>
      </c>
      <c r="N83" s="467">
        <f>6900*1.16</f>
        <v>8003.9999999999991</v>
      </c>
      <c r="O83" s="33">
        <v>5</v>
      </c>
      <c r="P83" s="455">
        <f t="shared" si="11"/>
        <v>133.39999999999998</v>
      </c>
      <c r="Q83" s="5">
        <v>5469.3999999999987</v>
      </c>
      <c r="R83" s="455">
        <f t="shared" si="7"/>
        <v>5602.7999999999993</v>
      </c>
      <c r="S83" s="15">
        <f t="shared" si="8"/>
        <v>133.40000000000055</v>
      </c>
      <c r="T83" s="455">
        <f t="shared" si="9"/>
        <v>2401.1999999999998</v>
      </c>
      <c r="U83" s="442">
        <v>17316</v>
      </c>
      <c r="W83" s="44">
        <f t="shared" si="10"/>
        <v>42</v>
      </c>
    </row>
    <row r="84" spans="1:23" s="442" customFormat="1" ht="15.75" x14ac:dyDescent="0.25">
      <c r="B84" s="33" t="s">
        <v>2553</v>
      </c>
      <c r="F84" s="442" t="s">
        <v>2550</v>
      </c>
      <c r="G84" s="470">
        <v>41110</v>
      </c>
      <c r="H84" s="442">
        <v>20</v>
      </c>
      <c r="I84" s="442">
        <v>7</v>
      </c>
      <c r="J84" s="442">
        <v>2012</v>
      </c>
      <c r="K84" s="33" t="s">
        <v>538</v>
      </c>
      <c r="L84" s="83" t="s">
        <v>2551</v>
      </c>
      <c r="M84" s="33" t="s">
        <v>2504</v>
      </c>
      <c r="N84" s="467">
        <f>6900*1.16</f>
        <v>8003.9999999999991</v>
      </c>
      <c r="O84" s="33">
        <v>5</v>
      </c>
      <c r="P84" s="455">
        <f t="shared" si="11"/>
        <v>133.39999999999998</v>
      </c>
      <c r="Q84" s="5">
        <v>5469.3999999999987</v>
      </c>
      <c r="R84" s="455">
        <f t="shared" si="7"/>
        <v>5602.7999999999993</v>
      </c>
      <c r="S84" s="15">
        <f t="shared" si="8"/>
        <v>133.40000000000055</v>
      </c>
      <c r="T84" s="455">
        <f t="shared" si="9"/>
        <v>2401.1999999999998</v>
      </c>
      <c r="U84" s="442">
        <v>17316</v>
      </c>
      <c r="W84" s="44">
        <f t="shared" si="10"/>
        <v>42</v>
      </c>
    </row>
    <row r="85" spans="1:23" s="442" customFormat="1" ht="15.75" x14ac:dyDescent="0.25">
      <c r="B85" s="33" t="s">
        <v>2553</v>
      </c>
      <c r="F85" s="442" t="s">
        <v>2550</v>
      </c>
      <c r="G85" s="470">
        <v>41110</v>
      </c>
      <c r="H85" s="442">
        <v>20</v>
      </c>
      <c r="I85" s="442">
        <v>7</v>
      </c>
      <c r="J85" s="442">
        <v>2012</v>
      </c>
      <c r="K85" s="33" t="s">
        <v>538</v>
      </c>
      <c r="L85" s="83" t="s">
        <v>2551</v>
      </c>
      <c r="M85" s="33" t="s">
        <v>2504</v>
      </c>
      <c r="N85" s="467">
        <f>6900*1.16</f>
        <v>8003.9999999999991</v>
      </c>
      <c r="O85" s="33">
        <v>5</v>
      </c>
      <c r="P85" s="455">
        <f t="shared" si="11"/>
        <v>133.39999999999998</v>
      </c>
      <c r="Q85" s="5">
        <v>5469.3999999999987</v>
      </c>
      <c r="R85" s="455">
        <f t="shared" si="7"/>
        <v>5602.7999999999993</v>
      </c>
      <c r="S85" s="15">
        <f t="shared" si="8"/>
        <v>133.40000000000055</v>
      </c>
      <c r="T85" s="455">
        <f t="shared" si="9"/>
        <v>2401.1999999999998</v>
      </c>
      <c r="U85" s="442">
        <v>17316</v>
      </c>
      <c r="W85" s="44">
        <f t="shared" si="10"/>
        <v>42</v>
      </c>
    </row>
    <row r="86" spans="1:23" s="442" customFormat="1" ht="15.75" x14ac:dyDescent="0.25">
      <c r="B86" s="33" t="s">
        <v>2553</v>
      </c>
      <c r="F86" s="442" t="s">
        <v>2550</v>
      </c>
      <c r="G86" s="470">
        <v>41110</v>
      </c>
      <c r="H86" s="442">
        <v>20</v>
      </c>
      <c r="I86" s="442">
        <v>7</v>
      </c>
      <c r="J86" s="442">
        <v>2012</v>
      </c>
      <c r="K86" s="33" t="s">
        <v>538</v>
      </c>
      <c r="L86" s="83" t="s">
        <v>2551</v>
      </c>
      <c r="M86" s="33" t="s">
        <v>2504</v>
      </c>
      <c r="N86" s="467">
        <f>6900*1.16</f>
        <v>8003.9999999999991</v>
      </c>
      <c r="O86" s="33">
        <v>5</v>
      </c>
      <c r="P86" s="455">
        <f t="shared" si="11"/>
        <v>133.39999999999998</v>
      </c>
      <c r="Q86" s="5">
        <v>5469.3999999999987</v>
      </c>
      <c r="R86" s="455">
        <f t="shared" si="7"/>
        <v>5602.7999999999993</v>
      </c>
      <c r="S86" s="15">
        <f t="shared" si="8"/>
        <v>133.40000000000055</v>
      </c>
      <c r="T86" s="455">
        <f t="shared" si="9"/>
        <v>2401.1999999999998</v>
      </c>
      <c r="U86" s="442">
        <v>17316</v>
      </c>
      <c r="W86" s="44">
        <f t="shared" si="10"/>
        <v>42</v>
      </c>
    </row>
    <row r="87" spans="1:23" s="442" customFormat="1" ht="15.75" x14ac:dyDescent="0.25">
      <c r="B87" s="33" t="s">
        <v>2554</v>
      </c>
      <c r="F87" s="442" t="s">
        <v>2550</v>
      </c>
      <c r="G87" s="470">
        <v>41110</v>
      </c>
      <c r="H87" s="442">
        <v>20</v>
      </c>
      <c r="I87" s="442">
        <v>7</v>
      </c>
      <c r="J87" s="442">
        <v>2012</v>
      </c>
      <c r="K87" s="33" t="s">
        <v>538</v>
      </c>
      <c r="L87" s="83" t="s">
        <v>2551</v>
      </c>
      <c r="M87" s="33" t="s">
        <v>2504</v>
      </c>
      <c r="N87" s="467">
        <f>6100*1.16</f>
        <v>7075.9999999999991</v>
      </c>
      <c r="O87" s="33">
        <v>5</v>
      </c>
      <c r="P87" s="455">
        <f t="shared" si="11"/>
        <v>117.93333333333332</v>
      </c>
      <c r="Q87" s="5">
        <v>4835.2666666666664</v>
      </c>
      <c r="R87" s="455">
        <f t="shared" si="7"/>
        <v>4953.2</v>
      </c>
      <c r="S87" s="15">
        <f t="shared" si="8"/>
        <v>117.93333333333339</v>
      </c>
      <c r="T87" s="455">
        <f t="shared" si="9"/>
        <v>2122.7999999999993</v>
      </c>
      <c r="U87" s="442">
        <v>17316</v>
      </c>
      <c r="W87" s="44">
        <f t="shared" si="10"/>
        <v>42</v>
      </c>
    </row>
    <row r="88" spans="1:23" s="442" customFormat="1" ht="15.75" x14ac:dyDescent="0.25">
      <c r="B88" s="33" t="s">
        <v>2554</v>
      </c>
      <c r="F88" s="442" t="s">
        <v>2550</v>
      </c>
      <c r="G88" s="470">
        <v>41110</v>
      </c>
      <c r="H88" s="442">
        <v>20</v>
      </c>
      <c r="I88" s="442">
        <v>7</v>
      </c>
      <c r="J88" s="442">
        <v>2012</v>
      </c>
      <c r="K88" s="33" t="s">
        <v>538</v>
      </c>
      <c r="L88" s="83" t="s">
        <v>2551</v>
      </c>
      <c r="M88" s="33" t="s">
        <v>2504</v>
      </c>
      <c r="N88" s="467">
        <f>6100*1.16</f>
        <v>7075.9999999999991</v>
      </c>
      <c r="O88" s="33">
        <v>5</v>
      </c>
      <c r="P88" s="455">
        <f t="shared" si="11"/>
        <v>117.93333333333332</v>
      </c>
      <c r="Q88" s="5">
        <v>4835.2666666666664</v>
      </c>
      <c r="R88" s="455">
        <f t="shared" si="7"/>
        <v>4953.2</v>
      </c>
      <c r="S88" s="15">
        <f t="shared" si="8"/>
        <v>117.93333333333339</v>
      </c>
      <c r="T88" s="455">
        <f t="shared" si="9"/>
        <v>2122.7999999999993</v>
      </c>
      <c r="U88" s="442">
        <v>17316</v>
      </c>
      <c r="W88" s="44">
        <f t="shared" si="10"/>
        <v>42</v>
      </c>
    </row>
    <row r="89" spans="1:23" s="442" customFormat="1" ht="15.75" x14ac:dyDescent="0.25">
      <c r="B89" s="33" t="s">
        <v>2554</v>
      </c>
      <c r="F89" s="442" t="s">
        <v>2550</v>
      </c>
      <c r="G89" s="470">
        <v>41110</v>
      </c>
      <c r="H89" s="442">
        <v>20</v>
      </c>
      <c r="I89" s="442">
        <v>7</v>
      </c>
      <c r="J89" s="442">
        <v>2012</v>
      </c>
      <c r="K89" s="33" t="s">
        <v>538</v>
      </c>
      <c r="L89" s="83" t="s">
        <v>2551</v>
      </c>
      <c r="M89" s="33" t="s">
        <v>2504</v>
      </c>
      <c r="N89" s="467">
        <f>6100*1.16</f>
        <v>7075.9999999999991</v>
      </c>
      <c r="O89" s="33">
        <v>5</v>
      </c>
      <c r="P89" s="455">
        <f t="shared" si="11"/>
        <v>117.93333333333332</v>
      </c>
      <c r="Q89" s="5">
        <v>4835.2666666666664</v>
      </c>
      <c r="R89" s="455">
        <f t="shared" si="7"/>
        <v>4953.2</v>
      </c>
      <c r="S89" s="15">
        <f t="shared" si="8"/>
        <v>117.93333333333339</v>
      </c>
      <c r="T89" s="455">
        <f t="shared" si="9"/>
        <v>2122.7999999999993</v>
      </c>
      <c r="U89" s="442">
        <v>17316</v>
      </c>
      <c r="W89" s="44">
        <f t="shared" si="10"/>
        <v>42</v>
      </c>
    </row>
    <row r="90" spans="1:23" s="442" customFormat="1" ht="15.75" x14ac:dyDescent="0.25">
      <c r="B90" s="33" t="s">
        <v>2554</v>
      </c>
      <c r="F90" s="442" t="s">
        <v>2550</v>
      </c>
      <c r="G90" s="470">
        <v>41110</v>
      </c>
      <c r="H90" s="442">
        <v>20</v>
      </c>
      <c r="I90" s="442">
        <v>7</v>
      </c>
      <c r="J90" s="442">
        <v>2012</v>
      </c>
      <c r="K90" s="33" t="s">
        <v>538</v>
      </c>
      <c r="L90" s="83" t="s">
        <v>2551</v>
      </c>
      <c r="M90" s="33" t="s">
        <v>2504</v>
      </c>
      <c r="N90" s="467">
        <f>6100*1.16</f>
        <v>7075.9999999999991</v>
      </c>
      <c r="O90" s="33">
        <v>5</v>
      </c>
      <c r="P90" s="455">
        <f t="shared" si="11"/>
        <v>117.93333333333332</v>
      </c>
      <c r="Q90" s="5">
        <v>4835.2666666666664</v>
      </c>
      <c r="R90" s="455">
        <f t="shared" si="7"/>
        <v>4953.2</v>
      </c>
      <c r="S90" s="15">
        <f t="shared" si="8"/>
        <v>117.93333333333339</v>
      </c>
      <c r="T90" s="455">
        <f t="shared" si="9"/>
        <v>2122.7999999999993</v>
      </c>
      <c r="U90" s="442">
        <v>17316</v>
      </c>
      <c r="W90" s="44">
        <f t="shared" si="10"/>
        <v>42</v>
      </c>
    </row>
    <row r="91" spans="1:23" s="442" customFormat="1" ht="15.75" x14ac:dyDescent="0.25">
      <c r="B91" s="33"/>
      <c r="G91" s="470"/>
      <c r="K91" s="33"/>
      <c r="L91" s="83"/>
      <c r="M91" s="33"/>
      <c r="N91" s="464">
        <f>SUM(N69:N90)</f>
        <v>134502</v>
      </c>
      <c r="O91" s="55"/>
      <c r="P91" s="466">
        <f>SUM(P69:P90)</f>
        <v>2241.7000000000012</v>
      </c>
      <c r="Q91" s="466">
        <v>91909.699999999983</v>
      </c>
      <c r="R91" s="466">
        <f>SUM(R69:R90)</f>
        <v>94151.4</v>
      </c>
      <c r="S91" s="466">
        <f>SUM(S69:S90)</f>
        <v>2241.7000000000048</v>
      </c>
      <c r="T91" s="466">
        <f>SUM(T69:T90)</f>
        <v>40350.599999999991</v>
      </c>
      <c r="U91" s="471"/>
      <c r="W91" s="44"/>
    </row>
    <row r="92" spans="1:23" s="442" customFormat="1" ht="15.75" x14ac:dyDescent="0.25">
      <c r="B92" s="33"/>
      <c r="L92" s="83"/>
      <c r="N92" s="467"/>
      <c r="P92" s="455"/>
      <c r="Q92" s="455"/>
      <c r="R92" s="455"/>
      <c r="S92" s="455"/>
      <c r="T92" s="455"/>
      <c r="W92" s="44"/>
    </row>
    <row r="93" spans="1:23" s="445" customFormat="1" ht="16.5" thickBot="1" x14ac:dyDescent="0.3">
      <c r="A93" s="105" t="s">
        <v>2750</v>
      </c>
      <c r="L93" s="461"/>
      <c r="N93" s="472">
        <f>+N67+N91</f>
        <v>904325.46000000008</v>
      </c>
      <c r="P93" s="472">
        <f>+P67+P91</f>
        <v>2871.8263333333343</v>
      </c>
      <c r="Q93" s="472">
        <v>859162.65466666676</v>
      </c>
      <c r="R93" s="472">
        <f>+R67+R91</f>
        <v>862034.48100000015</v>
      </c>
      <c r="S93" s="472">
        <f>+S67+S91</f>
        <v>2871.8263333333362</v>
      </c>
      <c r="T93" s="472">
        <f>+T67+T91</f>
        <v>42290.978999999948</v>
      </c>
      <c r="W93" s="44"/>
    </row>
    <row r="94" spans="1:23" s="442" customFormat="1" ht="16.5" thickTop="1" x14ac:dyDescent="0.25">
      <c r="L94" s="83"/>
    </row>
    <row r="95" spans="1:23" s="78" customFormat="1" ht="15.75" x14ac:dyDescent="0.25">
      <c r="L95" s="431"/>
    </row>
    <row r="96" spans="1:23" s="78" customFormat="1" ht="15.75" x14ac:dyDescent="0.25">
      <c r="L96" s="431"/>
    </row>
    <row r="97" spans="12:12" s="78" customFormat="1" ht="15.75" x14ac:dyDescent="0.25">
      <c r="L97" s="431"/>
    </row>
    <row r="98" spans="12:12" s="78" customFormat="1" ht="15.75" x14ac:dyDescent="0.25">
      <c r="L98" s="431"/>
    </row>
    <row r="99" spans="12:12" s="78" customFormat="1" ht="15.75" x14ac:dyDescent="0.25">
      <c r="L99" s="431"/>
    </row>
    <row r="100" spans="12:12" s="78" customFormat="1" ht="15.75" x14ac:dyDescent="0.25">
      <c r="L100" s="431"/>
    </row>
    <row r="101" spans="12:12" s="78" customFormat="1" ht="15.75" x14ac:dyDescent="0.25">
      <c r="L101" s="431"/>
    </row>
    <row r="102" spans="12:12" s="78" customFormat="1" ht="15.75" x14ac:dyDescent="0.25">
      <c r="L102" s="431"/>
    </row>
    <row r="103" spans="12:12" s="78" customFormat="1" ht="15.75" x14ac:dyDescent="0.25">
      <c r="L103" s="431"/>
    </row>
    <row r="104" spans="12:12" s="78" customFormat="1" ht="15.75" x14ac:dyDescent="0.25">
      <c r="L104" s="431"/>
    </row>
    <row r="105" spans="12:12" s="78" customFormat="1" ht="15.75" x14ac:dyDescent="0.25">
      <c r="L105" s="431"/>
    </row>
    <row r="106" spans="12:12" s="78" customFormat="1" ht="15.75" x14ac:dyDescent="0.25">
      <c r="L106" s="431"/>
    </row>
    <row r="107" spans="12:12" s="78" customFormat="1" ht="15.75" x14ac:dyDescent="0.25">
      <c r="L107" s="431"/>
    </row>
    <row r="108" spans="12:12" s="78" customFormat="1" ht="15.75" x14ac:dyDescent="0.25">
      <c r="L108" s="431"/>
    </row>
    <row r="109" spans="12:12" s="78" customFormat="1" ht="15.75" x14ac:dyDescent="0.25">
      <c r="L109" s="431"/>
    </row>
    <row r="110" spans="12:12" s="78" customFormat="1" ht="15.75" x14ac:dyDescent="0.25">
      <c r="L110" s="431"/>
    </row>
    <row r="111" spans="12:12" s="78" customFormat="1" ht="15.75" x14ac:dyDescent="0.25">
      <c r="L111" s="431"/>
    </row>
    <row r="112" spans="12:12" s="78" customFormat="1" ht="15.75" x14ac:dyDescent="0.25">
      <c r="L112" s="431"/>
    </row>
    <row r="113" spans="12:12" s="78" customFormat="1" ht="15.75" x14ac:dyDescent="0.25">
      <c r="L113" s="431"/>
    </row>
    <row r="114" spans="12:12" s="78" customFormat="1" ht="15.75" x14ac:dyDescent="0.25">
      <c r="L114" s="431"/>
    </row>
    <row r="115" spans="12:12" s="78" customFormat="1" ht="15.75" x14ac:dyDescent="0.25">
      <c r="L115" s="431"/>
    </row>
    <row r="116" spans="12:12" s="78" customFormat="1" ht="15.75" x14ac:dyDescent="0.25">
      <c r="L116" s="431"/>
    </row>
    <row r="117" spans="12:12" s="78" customFormat="1" ht="15.75" x14ac:dyDescent="0.25">
      <c r="L117" s="431"/>
    </row>
    <row r="118" spans="12:12" s="78" customFormat="1" ht="15.75" x14ac:dyDescent="0.25">
      <c r="L118" s="431"/>
    </row>
    <row r="119" spans="12:12" s="78" customFormat="1" ht="15.75" x14ac:dyDescent="0.25">
      <c r="L119" s="431"/>
    </row>
    <row r="120" spans="12:12" s="78" customFormat="1" ht="15.75" x14ac:dyDescent="0.25">
      <c r="L120" s="431"/>
    </row>
    <row r="121" spans="12:12" s="78" customFormat="1" ht="15.75" x14ac:dyDescent="0.25">
      <c r="L121" s="431"/>
    </row>
    <row r="122" spans="12:12" s="78" customFormat="1" ht="15.75" x14ac:dyDescent="0.25">
      <c r="L122" s="431"/>
    </row>
    <row r="123" spans="12:12" s="78" customFormat="1" ht="15.75" x14ac:dyDescent="0.25">
      <c r="L123" s="431"/>
    </row>
    <row r="124" spans="12:12" s="78" customFormat="1" ht="15.75" x14ac:dyDescent="0.25">
      <c r="L124" s="431"/>
    </row>
    <row r="125" spans="12:12" s="78" customFormat="1" ht="15.75" x14ac:dyDescent="0.25">
      <c r="L125" s="431"/>
    </row>
    <row r="126" spans="12:12" s="78" customFormat="1" ht="15.75" x14ac:dyDescent="0.25">
      <c r="L126" s="431"/>
    </row>
    <row r="127" spans="12:12" s="78" customFormat="1" ht="15.75" x14ac:dyDescent="0.25">
      <c r="L127" s="431"/>
    </row>
    <row r="128" spans="12:12" s="78" customFormat="1" ht="15.75" x14ac:dyDescent="0.25">
      <c r="L128" s="431"/>
    </row>
    <row r="129" spans="12:12" s="78" customFormat="1" ht="15.75" x14ac:dyDescent="0.25">
      <c r="L129" s="431"/>
    </row>
    <row r="130" spans="12:12" s="78" customFormat="1" ht="15.75" x14ac:dyDescent="0.25">
      <c r="L130" s="431"/>
    </row>
    <row r="131" spans="12:12" s="78" customFormat="1" ht="15.75" x14ac:dyDescent="0.25">
      <c r="L131" s="431"/>
    </row>
    <row r="132" spans="12:12" s="78" customFormat="1" ht="15.75" x14ac:dyDescent="0.25">
      <c r="L132" s="431"/>
    </row>
    <row r="133" spans="12:12" s="78" customFormat="1" ht="15.75" x14ac:dyDescent="0.25">
      <c r="L133" s="431"/>
    </row>
    <row r="134" spans="12:12" s="78" customFormat="1" ht="15.75" x14ac:dyDescent="0.25">
      <c r="L134" s="431"/>
    </row>
    <row r="135" spans="12:12" s="78" customFormat="1" ht="15.75" x14ac:dyDescent="0.25">
      <c r="L135" s="431"/>
    </row>
    <row r="136" spans="12:12" s="78" customFormat="1" ht="15.75" x14ac:dyDescent="0.25">
      <c r="L136" s="431"/>
    </row>
    <row r="137" spans="12:12" s="78" customFormat="1" ht="15.75" x14ac:dyDescent="0.25">
      <c r="L137" s="431"/>
    </row>
    <row r="138" spans="12:12" s="78" customFormat="1" ht="15.75" x14ac:dyDescent="0.25">
      <c r="L138" s="431"/>
    </row>
    <row r="139" spans="12:12" s="78" customFormat="1" ht="15.75" x14ac:dyDescent="0.25">
      <c r="L139" s="431"/>
    </row>
    <row r="140" spans="12:12" s="78" customFormat="1" ht="15.75" x14ac:dyDescent="0.25">
      <c r="L140" s="431"/>
    </row>
    <row r="141" spans="12:12" s="78" customFormat="1" ht="15.75" x14ac:dyDescent="0.25">
      <c r="L141" s="431"/>
    </row>
    <row r="142" spans="12:12" s="78" customFormat="1" ht="15.75" x14ac:dyDescent="0.25">
      <c r="L142" s="431"/>
    </row>
    <row r="143" spans="12:12" s="78" customFormat="1" ht="15.75" x14ac:dyDescent="0.25">
      <c r="L143" s="431"/>
    </row>
    <row r="144" spans="12:12" s="78" customFormat="1" ht="15.75" x14ac:dyDescent="0.25">
      <c r="L144" s="431"/>
    </row>
    <row r="145" spans="12:12" s="78" customFormat="1" ht="15.75" x14ac:dyDescent="0.25">
      <c r="L145" s="431"/>
    </row>
  </sheetData>
  <mergeCells count="5">
    <mergeCell ref="A2:U2"/>
    <mergeCell ref="A3:U3"/>
    <mergeCell ref="A4:U4"/>
    <mergeCell ref="H6:J6"/>
    <mergeCell ref="P6:S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0" fitToHeight="8" orientation="landscape" r:id="rId1"/>
  <headerFooter>
    <oddFooter>Página &amp;P&amp;R&amp;A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V99"/>
  <sheetViews>
    <sheetView topLeftCell="A73" zoomScaleNormal="100" workbookViewId="0">
      <selection activeCell="B97" sqref="B97"/>
    </sheetView>
  </sheetViews>
  <sheetFormatPr baseColWidth="10" defaultRowHeight="12.75" x14ac:dyDescent="0.2"/>
  <cols>
    <col min="1" max="1" width="7.85546875" style="425" customWidth="1"/>
    <col min="2" max="2" width="39.7109375" style="425" customWidth="1"/>
    <col min="3" max="3" width="11.7109375" style="473" customWidth="1"/>
    <col min="4" max="4" width="14.42578125" style="473" customWidth="1"/>
    <col min="5" max="6" width="20.7109375" style="425" customWidth="1"/>
    <col min="7" max="8" width="5" style="425" customWidth="1"/>
    <col min="9" max="9" width="8.5703125" style="425" customWidth="1"/>
    <col min="10" max="10" width="7.42578125" style="425" customWidth="1"/>
    <col min="11" max="11" width="7.7109375" style="425" customWidth="1"/>
    <col min="12" max="12" width="7.5703125" style="425" customWidth="1"/>
    <col min="13" max="13" width="13.42578125" style="425" customWidth="1"/>
    <col min="14" max="14" width="13.42578125" style="485" customWidth="1"/>
    <col min="15" max="16" width="14.7109375" style="518" customWidth="1"/>
    <col min="17" max="18" width="15.140625" style="517" customWidth="1"/>
    <col min="19" max="19" width="15.85546875" style="425" bestFit="1" customWidth="1"/>
    <col min="20" max="20" width="11.5703125" style="425" customWidth="1"/>
    <col min="21" max="16384" width="11.42578125" style="425"/>
  </cols>
  <sheetData>
    <row r="1" spans="1:22" s="492" customFormat="1" ht="18.75" x14ac:dyDescent="0.3">
      <c r="A1" s="675" t="s">
        <v>0</v>
      </c>
      <c r="B1" s="675"/>
      <c r="C1" s="675"/>
      <c r="D1" s="675"/>
      <c r="E1" s="675"/>
      <c r="F1" s="675"/>
      <c r="G1" s="675"/>
      <c r="H1" s="675"/>
      <c r="I1" s="675"/>
      <c r="J1" s="675"/>
      <c r="K1" s="675"/>
      <c r="L1" s="675"/>
      <c r="M1" s="675"/>
      <c r="N1" s="675"/>
      <c r="O1" s="675"/>
      <c r="P1" s="675"/>
      <c r="Q1" s="675"/>
      <c r="R1" s="675"/>
      <c r="S1" s="675"/>
    </row>
    <row r="2" spans="1:22" s="78" customFormat="1" ht="15.75" x14ac:dyDescent="0.25">
      <c r="A2" s="676" t="s">
        <v>2564</v>
      </c>
      <c r="B2" s="676"/>
      <c r="C2" s="676"/>
      <c r="D2" s="676"/>
      <c r="E2" s="676"/>
      <c r="F2" s="676"/>
      <c r="G2" s="676"/>
      <c r="H2" s="676"/>
      <c r="I2" s="676"/>
      <c r="J2" s="676"/>
      <c r="K2" s="676"/>
      <c r="L2" s="676"/>
      <c r="M2" s="676"/>
      <c r="N2" s="676"/>
      <c r="O2" s="676"/>
      <c r="P2" s="676"/>
      <c r="Q2" s="676"/>
      <c r="R2" s="676"/>
      <c r="S2" s="676"/>
    </row>
    <row r="3" spans="1:22" x14ac:dyDescent="0.2">
      <c r="A3" s="674" t="str">
        <f>'Equipos de Producción'!A3:S3</f>
        <v>(Al 31 de Enero del 2016)</v>
      </c>
      <c r="B3" s="674"/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  <c r="S3" s="674"/>
      <c r="T3" s="493"/>
      <c r="U3" s="493"/>
    </row>
    <row r="4" spans="1:22" s="496" customFormat="1" ht="15.75" x14ac:dyDescent="0.25">
      <c r="A4" s="494"/>
      <c r="B4" s="494"/>
      <c r="C4" s="494"/>
      <c r="D4" s="494"/>
      <c r="E4" s="494"/>
      <c r="F4" s="494"/>
      <c r="G4" s="494"/>
      <c r="H4" s="494"/>
      <c r="I4" s="494"/>
      <c r="J4" s="494"/>
      <c r="K4" s="494"/>
      <c r="L4" s="494"/>
      <c r="M4" s="494"/>
      <c r="N4" s="619"/>
      <c r="O4" s="494"/>
      <c r="P4" s="494"/>
      <c r="Q4" s="495"/>
      <c r="R4" s="495"/>
    </row>
    <row r="5" spans="1:22" s="1" customFormat="1" x14ac:dyDescent="0.2">
      <c r="C5" s="39"/>
      <c r="D5" s="39"/>
      <c r="N5" s="506"/>
      <c r="O5" s="497"/>
      <c r="P5" s="497"/>
      <c r="Q5" s="498"/>
      <c r="R5" s="498"/>
      <c r="V5" s="121">
        <f>'Equipos Médicos'!W5</f>
        <v>42400</v>
      </c>
    </row>
    <row r="6" spans="1:22" ht="15.75" x14ac:dyDescent="0.25">
      <c r="A6" s="499"/>
      <c r="O6" s="660" t="s">
        <v>3</v>
      </c>
      <c r="P6" s="661"/>
      <c r="Q6" s="661"/>
      <c r="R6" s="662"/>
      <c r="V6" s="45"/>
    </row>
    <row r="7" spans="1:22" s="500" customFormat="1" ht="63" x14ac:dyDescent="0.25">
      <c r="A7" s="600" t="s">
        <v>2565</v>
      </c>
      <c r="B7" s="600" t="s">
        <v>2566</v>
      </c>
      <c r="C7" s="600" t="s">
        <v>8</v>
      </c>
      <c r="D7" s="600" t="s">
        <v>9</v>
      </c>
      <c r="E7" s="600" t="s">
        <v>11</v>
      </c>
      <c r="F7" s="600" t="s">
        <v>2567</v>
      </c>
      <c r="G7" s="600" t="s">
        <v>13</v>
      </c>
      <c r="H7" s="600" t="s">
        <v>14</v>
      </c>
      <c r="I7" s="600" t="s">
        <v>15</v>
      </c>
      <c r="J7" s="600" t="s">
        <v>2568</v>
      </c>
      <c r="K7" s="600" t="s">
        <v>2569</v>
      </c>
      <c r="L7" s="600" t="s">
        <v>2570</v>
      </c>
      <c r="M7" s="617" t="s">
        <v>19</v>
      </c>
      <c r="N7" s="620" t="s">
        <v>2571</v>
      </c>
      <c r="O7" s="618" t="s">
        <v>22</v>
      </c>
      <c r="P7" s="10" t="str">
        <f>+'Equipos de Producción'!$R$6</f>
        <v>Acumulada Diciembre 2015</v>
      </c>
      <c r="Q7" s="10" t="str">
        <f>+'Equipos de Producción'!$S$6</f>
        <v>Acumulada Enero 2016</v>
      </c>
      <c r="R7" s="10" t="str">
        <f>+'Equipos de Producción'!$T$6</f>
        <v>Deprec. a Registrar Enero 2016</v>
      </c>
      <c r="S7" s="129" t="s">
        <v>23</v>
      </c>
      <c r="V7" s="387" t="s">
        <v>25</v>
      </c>
    </row>
    <row r="8" spans="1:22" s="485" customFormat="1" ht="15.75" x14ac:dyDescent="0.25">
      <c r="B8" s="98" t="s">
        <v>2572</v>
      </c>
      <c r="C8" s="486"/>
      <c r="D8" s="98"/>
      <c r="E8" s="98" t="s">
        <v>2573</v>
      </c>
      <c r="F8" s="234" t="str">
        <f t="shared" ref="F8:F25" si="0">CONCATENATE(G8,"/",H8,"/",I8,)</f>
        <v>31/3/2008</v>
      </c>
      <c r="G8" s="40">
        <v>31</v>
      </c>
      <c r="H8" s="40">
        <v>3</v>
      </c>
      <c r="I8" s="40">
        <v>2008</v>
      </c>
      <c r="J8" s="40" t="s">
        <v>1817</v>
      </c>
      <c r="K8" s="40">
        <v>4445</v>
      </c>
      <c r="L8" s="40" t="s">
        <v>2574</v>
      </c>
      <c r="M8" s="5">
        <v>466519.06</v>
      </c>
      <c r="N8" s="103">
        <v>5</v>
      </c>
      <c r="O8" s="5">
        <v>0</v>
      </c>
      <c r="P8" s="5">
        <v>466498.05999999994</v>
      </c>
      <c r="Q8" s="5">
        <v>466498.05999999994</v>
      </c>
      <c r="R8" s="15">
        <f>+Q8-P8</f>
        <v>0</v>
      </c>
      <c r="S8" s="455">
        <f>M8-Q8</f>
        <v>21.000000000058208</v>
      </c>
      <c r="T8" s="505">
        <f>((2011-I8)*12)+(12-H8)+1</f>
        <v>46</v>
      </c>
      <c r="V8" s="44">
        <f>IF((DATEDIF(F8,V$5,"m"))&gt;=60,60,(DATEDIF(F8,V$5,"m")))</f>
        <v>60</v>
      </c>
    </row>
    <row r="9" spans="1:22" s="485" customFormat="1" ht="15.75" x14ac:dyDescent="0.25">
      <c r="B9" s="98" t="s">
        <v>2575</v>
      </c>
      <c r="C9" s="486"/>
      <c r="D9" s="98" t="s">
        <v>2576</v>
      </c>
      <c r="E9" s="98" t="s">
        <v>2573</v>
      </c>
      <c r="F9" s="234" t="str">
        <f t="shared" si="0"/>
        <v>31/3/2008</v>
      </c>
      <c r="G9" s="40">
        <v>31</v>
      </c>
      <c r="H9" s="40">
        <v>3</v>
      </c>
      <c r="I9" s="40">
        <v>2008</v>
      </c>
      <c r="J9" s="40" t="s">
        <v>1817</v>
      </c>
      <c r="K9" s="40">
        <v>4448</v>
      </c>
      <c r="L9" s="40" t="s">
        <v>2574</v>
      </c>
      <c r="M9" s="5">
        <f>50071.12*1.16</f>
        <v>58082.499199999998</v>
      </c>
      <c r="N9" s="103">
        <v>5</v>
      </c>
      <c r="O9" s="5">
        <v>0</v>
      </c>
      <c r="P9" s="5">
        <v>58081.499199999998</v>
      </c>
      <c r="Q9" s="5">
        <v>58081.499199999998</v>
      </c>
      <c r="R9" s="15">
        <f t="shared" ref="R9:R25" si="1">+Q9-P9</f>
        <v>0</v>
      </c>
      <c r="S9" s="455">
        <f t="shared" ref="S9:S25" si="2">M9-Q9</f>
        <v>1</v>
      </c>
      <c r="T9" s="505">
        <f t="shared" ref="T9:T25" si="3">((2011-I9)*12)+(12-H9)+1</f>
        <v>46</v>
      </c>
      <c r="V9" s="44">
        <f t="shared" ref="V9:V29" si="4">IF((DATEDIF(F9,V$5,"m"))&gt;=60,60,(DATEDIF(F9,V$5,"m")))</f>
        <v>60</v>
      </c>
    </row>
    <row r="10" spans="1:22" s="485" customFormat="1" ht="15.75" x14ac:dyDescent="0.25">
      <c r="B10" s="98" t="s">
        <v>2577</v>
      </c>
      <c r="C10" s="486"/>
      <c r="D10" s="98" t="s">
        <v>2578</v>
      </c>
      <c r="E10" s="98" t="s">
        <v>2573</v>
      </c>
      <c r="F10" s="234" t="str">
        <f t="shared" si="0"/>
        <v>31/3/2008</v>
      </c>
      <c r="G10" s="40">
        <v>31</v>
      </c>
      <c r="H10" s="40">
        <v>3</v>
      </c>
      <c r="I10" s="40">
        <v>2008</v>
      </c>
      <c r="J10" s="40" t="s">
        <v>1817</v>
      </c>
      <c r="K10" s="40">
        <v>4448</v>
      </c>
      <c r="L10" s="40" t="s">
        <v>2574</v>
      </c>
      <c r="M10" s="5">
        <f>24165.34*1.16</f>
        <v>28031.794399999999</v>
      </c>
      <c r="N10" s="103">
        <v>5</v>
      </c>
      <c r="O10" s="5">
        <v>0</v>
      </c>
      <c r="P10" s="5">
        <v>28030.794400000002</v>
      </c>
      <c r="Q10" s="5">
        <v>28030.794400000002</v>
      </c>
      <c r="R10" s="15">
        <f t="shared" si="1"/>
        <v>0</v>
      </c>
      <c r="S10" s="455">
        <f t="shared" si="2"/>
        <v>0.99999999999636202</v>
      </c>
      <c r="T10" s="505">
        <f t="shared" si="3"/>
        <v>46</v>
      </c>
      <c r="V10" s="44">
        <f t="shared" si="4"/>
        <v>60</v>
      </c>
    </row>
    <row r="11" spans="1:22" s="485" customFormat="1" ht="15.75" x14ac:dyDescent="0.25">
      <c r="B11" s="98" t="s">
        <v>2579</v>
      </c>
      <c r="C11" s="486"/>
      <c r="D11" s="98" t="s">
        <v>2580</v>
      </c>
      <c r="E11" s="98" t="s">
        <v>2573</v>
      </c>
      <c r="F11" s="234" t="str">
        <f t="shared" si="0"/>
        <v>31/3/2008</v>
      </c>
      <c r="G11" s="40">
        <v>31</v>
      </c>
      <c r="H11" s="40">
        <v>3</v>
      </c>
      <c r="I11" s="40">
        <v>2008</v>
      </c>
      <c r="J11" s="40" t="s">
        <v>1817</v>
      </c>
      <c r="K11" s="40">
        <v>4448</v>
      </c>
      <c r="L11" s="40" t="s">
        <v>2574</v>
      </c>
      <c r="M11" s="5">
        <f>52547.9*1.16</f>
        <v>60955.563999999998</v>
      </c>
      <c r="N11" s="103">
        <v>5</v>
      </c>
      <c r="O11" s="5">
        <v>0</v>
      </c>
      <c r="P11" s="5">
        <v>60954.563999999998</v>
      </c>
      <c r="Q11" s="5">
        <v>60954.563999999998</v>
      </c>
      <c r="R11" s="15">
        <f t="shared" si="1"/>
        <v>0</v>
      </c>
      <c r="S11" s="455">
        <f t="shared" si="2"/>
        <v>1</v>
      </c>
      <c r="T11" s="505">
        <f t="shared" si="3"/>
        <v>46</v>
      </c>
      <c r="V11" s="44">
        <f t="shared" si="4"/>
        <v>60</v>
      </c>
    </row>
    <row r="12" spans="1:22" s="485" customFormat="1" ht="15.75" x14ac:dyDescent="0.25">
      <c r="B12" s="98" t="s">
        <v>2581</v>
      </c>
      <c r="C12" s="486"/>
      <c r="D12" s="98">
        <v>10795</v>
      </c>
      <c r="E12" s="98" t="s">
        <v>2573</v>
      </c>
      <c r="F12" s="234" t="str">
        <f t="shared" si="0"/>
        <v>31/3/2008</v>
      </c>
      <c r="G12" s="40">
        <v>31</v>
      </c>
      <c r="H12" s="40">
        <v>3</v>
      </c>
      <c r="I12" s="40">
        <v>2008</v>
      </c>
      <c r="J12" s="40" t="s">
        <v>1817</v>
      </c>
      <c r="K12" s="40">
        <v>4448</v>
      </c>
      <c r="L12" s="40" t="s">
        <v>2574</v>
      </c>
      <c r="M12" s="5">
        <f>2175.55*1.16</f>
        <v>2523.6379999999999</v>
      </c>
      <c r="N12" s="103">
        <v>5</v>
      </c>
      <c r="O12" s="5">
        <v>0</v>
      </c>
      <c r="P12" s="5">
        <v>2522.6380000000004</v>
      </c>
      <c r="Q12" s="5">
        <v>2522.6380000000004</v>
      </c>
      <c r="R12" s="15">
        <f t="shared" si="1"/>
        <v>0</v>
      </c>
      <c r="S12" s="455">
        <f t="shared" si="2"/>
        <v>0.99999999999954525</v>
      </c>
      <c r="T12" s="505">
        <f t="shared" si="3"/>
        <v>46</v>
      </c>
      <c r="V12" s="44">
        <f t="shared" si="4"/>
        <v>60</v>
      </c>
    </row>
    <row r="13" spans="1:22" s="485" customFormat="1" ht="15.75" x14ac:dyDescent="0.25">
      <c r="B13" s="98" t="s">
        <v>2582</v>
      </c>
      <c r="C13" s="486"/>
      <c r="D13" s="98">
        <v>10796</v>
      </c>
      <c r="E13" s="98" t="s">
        <v>2573</v>
      </c>
      <c r="F13" s="234" t="str">
        <f t="shared" si="0"/>
        <v>31/3/2008</v>
      </c>
      <c r="G13" s="40">
        <v>31</v>
      </c>
      <c r="H13" s="40">
        <v>3</v>
      </c>
      <c r="I13" s="40">
        <v>2008</v>
      </c>
      <c r="J13" s="40" t="s">
        <v>1817</v>
      </c>
      <c r="K13" s="40">
        <v>4448</v>
      </c>
      <c r="L13" s="40" t="s">
        <v>2574</v>
      </c>
      <c r="M13" s="5">
        <f>12216.55*1.16</f>
        <v>14171.197999999999</v>
      </c>
      <c r="N13" s="103">
        <v>5</v>
      </c>
      <c r="O13" s="5">
        <v>0</v>
      </c>
      <c r="P13" s="5">
        <v>14170.197999999997</v>
      </c>
      <c r="Q13" s="5">
        <v>14170.197999999997</v>
      </c>
      <c r="R13" s="15">
        <f t="shared" si="1"/>
        <v>0</v>
      </c>
      <c r="S13" s="455">
        <f t="shared" si="2"/>
        <v>1.000000000001819</v>
      </c>
      <c r="T13" s="505">
        <f t="shared" si="3"/>
        <v>46</v>
      </c>
      <c r="V13" s="44">
        <f t="shared" si="4"/>
        <v>60</v>
      </c>
    </row>
    <row r="14" spans="1:22" s="485" customFormat="1" ht="15.75" x14ac:dyDescent="0.25">
      <c r="B14" s="98" t="s">
        <v>2583</v>
      </c>
      <c r="C14" s="486"/>
      <c r="D14" s="98">
        <v>10797</v>
      </c>
      <c r="E14" s="98" t="s">
        <v>2573</v>
      </c>
      <c r="F14" s="234" t="str">
        <f t="shared" si="0"/>
        <v>31/3/2008</v>
      </c>
      <c r="G14" s="40">
        <v>31</v>
      </c>
      <c r="H14" s="40">
        <v>3</v>
      </c>
      <c r="I14" s="40">
        <v>2008</v>
      </c>
      <c r="J14" s="40" t="s">
        <v>1817</v>
      </c>
      <c r="K14" s="40">
        <v>4448</v>
      </c>
      <c r="L14" s="40" t="s">
        <v>2574</v>
      </c>
      <c r="M14" s="5">
        <f>1773.91*1.16</f>
        <v>2057.7356</v>
      </c>
      <c r="N14" s="103">
        <v>5</v>
      </c>
      <c r="O14" s="5">
        <v>0</v>
      </c>
      <c r="P14" s="5">
        <v>2056.7356000000004</v>
      </c>
      <c r="Q14" s="5">
        <v>2056.7356000000004</v>
      </c>
      <c r="R14" s="15">
        <f t="shared" si="1"/>
        <v>0</v>
      </c>
      <c r="S14" s="455">
        <f t="shared" si="2"/>
        <v>0.99999999999954525</v>
      </c>
      <c r="T14" s="505">
        <f t="shared" si="3"/>
        <v>46</v>
      </c>
      <c r="V14" s="44">
        <f t="shared" si="4"/>
        <v>60</v>
      </c>
    </row>
    <row r="15" spans="1:22" s="485" customFormat="1" ht="15.75" x14ac:dyDescent="0.25">
      <c r="B15" s="98" t="s">
        <v>2577</v>
      </c>
      <c r="C15" s="486"/>
      <c r="D15" s="98" t="s">
        <v>2584</v>
      </c>
      <c r="E15" s="98" t="s">
        <v>2573</v>
      </c>
      <c r="F15" s="234" t="str">
        <f t="shared" si="0"/>
        <v>31/3/2008</v>
      </c>
      <c r="G15" s="40">
        <v>31</v>
      </c>
      <c r="H15" s="40">
        <v>3</v>
      </c>
      <c r="I15" s="40">
        <v>2008</v>
      </c>
      <c r="J15" s="40" t="s">
        <v>1817</v>
      </c>
      <c r="K15" s="40">
        <v>4448</v>
      </c>
      <c r="L15" s="40" t="s">
        <v>2574</v>
      </c>
      <c r="M15" s="5">
        <f>4886.62*1.16</f>
        <v>5668.4791999999998</v>
      </c>
      <c r="N15" s="103">
        <v>5</v>
      </c>
      <c r="O15" s="5">
        <v>0</v>
      </c>
      <c r="P15" s="5">
        <v>5667.4791999999998</v>
      </c>
      <c r="Q15" s="5">
        <v>5667.4791999999998</v>
      </c>
      <c r="R15" s="15">
        <f t="shared" si="1"/>
        <v>0</v>
      </c>
      <c r="S15" s="455">
        <f t="shared" si="2"/>
        <v>1</v>
      </c>
      <c r="T15" s="505">
        <f t="shared" si="3"/>
        <v>46</v>
      </c>
      <c r="V15" s="44">
        <f t="shared" si="4"/>
        <v>60</v>
      </c>
    </row>
    <row r="16" spans="1:22" s="485" customFormat="1" ht="15.75" x14ac:dyDescent="0.25">
      <c r="B16" s="98" t="s">
        <v>2585</v>
      </c>
      <c r="C16" s="486"/>
      <c r="D16" s="98" t="s">
        <v>2586</v>
      </c>
      <c r="E16" s="98" t="s">
        <v>2573</v>
      </c>
      <c r="F16" s="234" t="str">
        <f t="shared" si="0"/>
        <v>31/3/2008</v>
      </c>
      <c r="G16" s="40">
        <v>31</v>
      </c>
      <c r="H16" s="40">
        <v>3</v>
      </c>
      <c r="I16" s="40">
        <v>2008</v>
      </c>
      <c r="J16" s="40" t="s">
        <v>1817</v>
      </c>
      <c r="K16" s="40">
        <v>4448</v>
      </c>
      <c r="L16" s="40" t="s">
        <v>2574</v>
      </c>
      <c r="M16" s="5">
        <f>1271.86*1.16</f>
        <v>1475.3575999999998</v>
      </c>
      <c r="N16" s="103">
        <v>5</v>
      </c>
      <c r="O16" s="5">
        <v>0</v>
      </c>
      <c r="P16" s="5">
        <v>1474.3575999999998</v>
      </c>
      <c r="Q16" s="5">
        <v>1474.3575999999998</v>
      </c>
      <c r="R16" s="15">
        <f t="shared" si="1"/>
        <v>0</v>
      </c>
      <c r="S16" s="455">
        <f t="shared" si="2"/>
        <v>1</v>
      </c>
      <c r="T16" s="505">
        <f t="shared" si="3"/>
        <v>46</v>
      </c>
      <c r="V16" s="44">
        <f t="shared" si="4"/>
        <v>60</v>
      </c>
    </row>
    <row r="17" spans="1:22" s="485" customFormat="1" ht="15.75" x14ac:dyDescent="0.25">
      <c r="B17" s="98" t="s">
        <v>2587</v>
      </c>
      <c r="C17" s="486"/>
      <c r="D17" s="98" t="s">
        <v>2588</v>
      </c>
      <c r="E17" s="98" t="s">
        <v>2573</v>
      </c>
      <c r="F17" s="234" t="str">
        <f t="shared" si="0"/>
        <v>31/3/2008</v>
      </c>
      <c r="G17" s="40">
        <v>31</v>
      </c>
      <c r="H17" s="40">
        <v>3</v>
      </c>
      <c r="I17" s="40">
        <v>2008</v>
      </c>
      <c r="J17" s="40" t="s">
        <v>1817</v>
      </c>
      <c r="K17" s="40">
        <v>4448</v>
      </c>
      <c r="L17" s="40" t="s">
        <v>2574</v>
      </c>
      <c r="M17" s="5">
        <f>9974.06*1.16</f>
        <v>11569.909599999999</v>
      </c>
      <c r="N17" s="103">
        <v>5</v>
      </c>
      <c r="O17" s="5">
        <v>0</v>
      </c>
      <c r="P17" s="5">
        <v>11568.909599999999</v>
      </c>
      <c r="Q17" s="5">
        <v>11568.909599999999</v>
      </c>
      <c r="R17" s="15">
        <f t="shared" si="1"/>
        <v>0</v>
      </c>
      <c r="S17" s="455">
        <f t="shared" si="2"/>
        <v>1</v>
      </c>
      <c r="T17" s="505">
        <f t="shared" si="3"/>
        <v>46</v>
      </c>
      <c r="V17" s="44">
        <f t="shared" si="4"/>
        <v>60</v>
      </c>
    </row>
    <row r="18" spans="1:22" s="485" customFormat="1" ht="15.75" x14ac:dyDescent="0.25">
      <c r="B18" s="98" t="s">
        <v>2589</v>
      </c>
      <c r="C18" s="486"/>
      <c r="D18" s="98">
        <v>10798</v>
      </c>
      <c r="E18" s="98" t="s">
        <v>2573</v>
      </c>
      <c r="F18" s="234" t="str">
        <f t="shared" si="0"/>
        <v>31/3/2008</v>
      </c>
      <c r="G18" s="40">
        <v>31</v>
      </c>
      <c r="H18" s="40">
        <v>3</v>
      </c>
      <c r="I18" s="40">
        <v>2008</v>
      </c>
      <c r="J18" s="40" t="s">
        <v>1817</v>
      </c>
      <c r="K18" s="40">
        <v>4448</v>
      </c>
      <c r="L18" s="40" t="s">
        <v>2574</v>
      </c>
      <c r="M18" s="5">
        <f>17170.11*1.16</f>
        <v>19917.327600000001</v>
      </c>
      <c r="N18" s="103">
        <v>5</v>
      </c>
      <c r="O18" s="5">
        <v>0</v>
      </c>
      <c r="P18" s="5">
        <v>19916.327599999997</v>
      </c>
      <c r="Q18" s="5">
        <v>19916.327599999997</v>
      </c>
      <c r="R18" s="15">
        <f t="shared" si="1"/>
        <v>0</v>
      </c>
      <c r="S18" s="455">
        <f t="shared" si="2"/>
        <v>1.000000000003638</v>
      </c>
      <c r="T18" s="505">
        <f t="shared" si="3"/>
        <v>46</v>
      </c>
      <c r="V18" s="44">
        <f t="shared" si="4"/>
        <v>60</v>
      </c>
    </row>
    <row r="19" spans="1:22" s="485" customFormat="1" ht="15.75" x14ac:dyDescent="0.25">
      <c r="B19" s="98" t="s">
        <v>2590</v>
      </c>
      <c r="C19" s="486"/>
      <c r="D19" s="98" t="s">
        <v>2591</v>
      </c>
      <c r="E19" s="98" t="s">
        <v>2573</v>
      </c>
      <c r="F19" s="234" t="str">
        <f t="shared" si="0"/>
        <v>31/3/2008</v>
      </c>
      <c r="G19" s="40">
        <v>31</v>
      </c>
      <c r="H19" s="40">
        <v>3</v>
      </c>
      <c r="I19" s="40">
        <v>2008</v>
      </c>
      <c r="J19" s="40" t="s">
        <v>1817</v>
      </c>
      <c r="K19" s="40">
        <v>4448</v>
      </c>
      <c r="L19" s="40" t="s">
        <v>2574</v>
      </c>
      <c r="M19" s="5">
        <f>2008.2*1.16</f>
        <v>2329.5119999999997</v>
      </c>
      <c r="N19" s="103">
        <v>5</v>
      </c>
      <c r="O19" s="5">
        <v>0</v>
      </c>
      <c r="P19" s="5">
        <v>2328.5119999999997</v>
      </c>
      <c r="Q19" s="5">
        <v>2328.5119999999997</v>
      </c>
      <c r="R19" s="15">
        <f t="shared" si="1"/>
        <v>0</v>
      </c>
      <c r="S19" s="455">
        <f t="shared" si="2"/>
        <v>1</v>
      </c>
      <c r="T19" s="505">
        <f t="shared" si="3"/>
        <v>46</v>
      </c>
      <c r="V19" s="44">
        <f t="shared" si="4"/>
        <v>60</v>
      </c>
    </row>
    <row r="20" spans="1:22" s="485" customFormat="1" ht="15.75" x14ac:dyDescent="0.25">
      <c r="B20" s="98" t="s">
        <v>2592</v>
      </c>
      <c r="C20" s="486"/>
      <c r="D20" s="98">
        <v>10799</v>
      </c>
      <c r="E20" s="98" t="s">
        <v>2573</v>
      </c>
      <c r="F20" s="234" t="str">
        <f t="shared" si="0"/>
        <v>31/3/2008</v>
      </c>
      <c r="G20" s="40">
        <v>31</v>
      </c>
      <c r="H20" s="40">
        <v>3</v>
      </c>
      <c r="I20" s="40">
        <v>2008</v>
      </c>
      <c r="J20" s="40" t="s">
        <v>1817</v>
      </c>
      <c r="K20" s="40">
        <v>4448</v>
      </c>
      <c r="L20" s="40" t="s">
        <v>2574</v>
      </c>
      <c r="M20" s="5">
        <f>4551.92*1.16</f>
        <v>5280.2271999999994</v>
      </c>
      <c r="N20" s="103">
        <v>5</v>
      </c>
      <c r="O20" s="5">
        <v>0</v>
      </c>
      <c r="P20" s="5">
        <v>5279.2271999999994</v>
      </c>
      <c r="Q20" s="5">
        <v>5279.2271999999994</v>
      </c>
      <c r="R20" s="15">
        <f t="shared" si="1"/>
        <v>0</v>
      </c>
      <c r="S20" s="455">
        <f t="shared" si="2"/>
        <v>1</v>
      </c>
      <c r="T20" s="505">
        <f t="shared" si="3"/>
        <v>46</v>
      </c>
      <c r="V20" s="44">
        <f t="shared" si="4"/>
        <v>60</v>
      </c>
    </row>
    <row r="21" spans="1:22" s="485" customFormat="1" ht="15.75" x14ac:dyDescent="0.25">
      <c r="B21" s="98" t="s">
        <v>2593</v>
      </c>
      <c r="C21" s="486"/>
      <c r="D21" s="98" t="s">
        <v>2594</v>
      </c>
      <c r="E21" s="98" t="s">
        <v>2573</v>
      </c>
      <c r="F21" s="234" t="str">
        <f t="shared" si="0"/>
        <v>31/3/2008</v>
      </c>
      <c r="G21" s="40">
        <v>31</v>
      </c>
      <c r="H21" s="40">
        <v>3</v>
      </c>
      <c r="I21" s="40">
        <v>2008</v>
      </c>
      <c r="J21" s="40" t="s">
        <v>1817</v>
      </c>
      <c r="K21" s="40">
        <v>4448</v>
      </c>
      <c r="L21" s="40" t="s">
        <v>2574</v>
      </c>
      <c r="M21" s="5">
        <f>10803.11*1.16</f>
        <v>12531.607599999999</v>
      </c>
      <c r="N21" s="103">
        <v>5</v>
      </c>
      <c r="O21" s="5">
        <v>0</v>
      </c>
      <c r="P21" s="5">
        <v>12530.607599999998</v>
      </c>
      <c r="Q21" s="5">
        <v>12530.607599999998</v>
      </c>
      <c r="R21" s="15">
        <f t="shared" si="1"/>
        <v>0</v>
      </c>
      <c r="S21" s="455">
        <f t="shared" si="2"/>
        <v>1.000000000001819</v>
      </c>
      <c r="T21" s="505">
        <f t="shared" si="3"/>
        <v>46</v>
      </c>
      <c r="V21" s="44">
        <f t="shared" si="4"/>
        <v>60</v>
      </c>
    </row>
    <row r="22" spans="1:22" s="485" customFormat="1" ht="15.75" x14ac:dyDescent="0.25">
      <c r="B22" s="98" t="s">
        <v>2595</v>
      </c>
      <c r="C22" s="486"/>
      <c r="D22" s="98" t="s">
        <v>2596</v>
      </c>
      <c r="E22" s="98" t="s">
        <v>2573</v>
      </c>
      <c r="F22" s="234" t="str">
        <f t="shared" si="0"/>
        <v>31/3/2008</v>
      </c>
      <c r="G22" s="40">
        <v>31</v>
      </c>
      <c r="H22" s="40">
        <v>3</v>
      </c>
      <c r="I22" s="40">
        <v>2008</v>
      </c>
      <c r="J22" s="40" t="s">
        <v>1817</v>
      </c>
      <c r="K22" s="40">
        <v>4448</v>
      </c>
      <c r="L22" s="40" t="s">
        <v>2574</v>
      </c>
      <c r="M22" s="5">
        <f>50037.65*1.16</f>
        <v>58043.673999999999</v>
      </c>
      <c r="N22" s="103">
        <v>5</v>
      </c>
      <c r="O22" s="5">
        <v>0</v>
      </c>
      <c r="P22" s="5">
        <v>58042.673999999999</v>
      </c>
      <c r="Q22" s="5">
        <v>58042.673999999999</v>
      </c>
      <c r="R22" s="15">
        <f t="shared" si="1"/>
        <v>0</v>
      </c>
      <c r="S22" s="455">
        <f t="shared" si="2"/>
        <v>1</v>
      </c>
      <c r="T22" s="505">
        <f t="shared" si="3"/>
        <v>46</v>
      </c>
      <c r="V22" s="44">
        <f t="shared" si="4"/>
        <v>60</v>
      </c>
    </row>
    <row r="23" spans="1:22" s="485" customFormat="1" ht="15.75" x14ac:dyDescent="0.25">
      <c r="B23" s="98" t="s">
        <v>2597</v>
      </c>
      <c r="C23" s="486"/>
      <c r="D23" s="98">
        <v>9771</v>
      </c>
      <c r="E23" s="98" t="s">
        <v>2573</v>
      </c>
      <c r="F23" s="234" t="str">
        <f>CONCATENATE(G23,"/",H23,"/",I23,)</f>
        <v>31/3/2008</v>
      </c>
      <c r="G23" s="40">
        <v>31</v>
      </c>
      <c r="H23" s="40">
        <v>3</v>
      </c>
      <c r="I23" s="40">
        <v>2008</v>
      </c>
      <c r="J23" s="40" t="s">
        <v>1817</v>
      </c>
      <c r="K23" s="40">
        <v>4448</v>
      </c>
      <c r="L23" s="40" t="s">
        <v>2574</v>
      </c>
      <c r="M23" s="5">
        <f>33309.34*1.16</f>
        <v>38638.834399999992</v>
      </c>
      <c r="N23" s="103">
        <v>5</v>
      </c>
      <c r="O23" s="5">
        <v>0</v>
      </c>
      <c r="P23" s="5">
        <v>38637.834399999992</v>
      </c>
      <c r="Q23" s="5">
        <v>38637.834399999992</v>
      </c>
      <c r="R23" s="15">
        <f t="shared" si="1"/>
        <v>0</v>
      </c>
      <c r="S23" s="455">
        <f t="shared" si="2"/>
        <v>1</v>
      </c>
      <c r="T23" s="505">
        <f t="shared" si="3"/>
        <v>46</v>
      </c>
      <c r="V23" s="44">
        <f t="shared" si="4"/>
        <v>60</v>
      </c>
    </row>
    <row r="24" spans="1:22" s="485" customFormat="1" ht="15.75" x14ac:dyDescent="0.25">
      <c r="B24" s="98" t="s">
        <v>2598</v>
      </c>
      <c r="C24" s="486" t="s">
        <v>715</v>
      </c>
      <c r="D24" s="98"/>
      <c r="E24" s="98" t="s">
        <v>2573</v>
      </c>
      <c r="F24" s="234" t="str">
        <f t="shared" si="0"/>
        <v>31/3/2008</v>
      </c>
      <c r="G24" s="40">
        <v>31</v>
      </c>
      <c r="H24" s="40">
        <v>3</v>
      </c>
      <c r="I24" s="40">
        <v>2008</v>
      </c>
      <c r="J24" s="40" t="s">
        <v>1817</v>
      </c>
      <c r="K24" s="40">
        <v>4448</v>
      </c>
      <c r="L24" s="40" t="s">
        <v>2574</v>
      </c>
      <c r="M24" s="5">
        <f>49200.9*1.16</f>
        <v>57073.043999999994</v>
      </c>
      <c r="N24" s="103">
        <v>5</v>
      </c>
      <c r="O24" s="5">
        <v>0</v>
      </c>
      <c r="P24" s="5">
        <v>57072.043999999994</v>
      </c>
      <c r="Q24" s="5">
        <v>57072.043999999994</v>
      </c>
      <c r="R24" s="15">
        <f t="shared" si="1"/>
        <v>0</v>
      </c>
      <c r="S24" s="455">
        <f t="shared" si="2"/>
        <v>1</v>
      </c>
      <c r="T24" s="505">
        <f t="shared" si="3"/>
        <v>46</v>
      </c>
      <c r="V24" s="44">
        <f t="shared" si="4"/>
        <v>60</v>
      </c>
    </row>
    <row r="25" spans="1:22" s="520" customFormat="1" ht="15.75" x14ac:dyDescent="0.25">
      <c r="B25" s="98" t="s">
        <v>2599</v>
      </c>
      <c r="C25" s="486"/>
      <c r="D25" s="98"/>
      <c r="E25" s="98" t="s">
        <v>2573</v>
      </c>
      <c r="F25" s="234" t="str">
        <f t="shared" si="0"/>
        <v>31/3/2008</v>
      </c>
      <c r="G25" s="40">
        <v>31</v>
      </c>
      <c r="H25" s="40">
        <v>3</v>
      </c>
      <c r="I25" s="40">
        <v>2008</v>
      </c>
      <c r="J25" s="40" t="s">
        <v>1817</v>
      </c>
      <c r="K25" s="40">
        <v>4448</v>
      </c>
      <c r="L25" s="40" t="s">
        <v>2574</v>
      </c>
      <c r="M25" s="5">
        <v>469963.51</v>
      </c>
      <c r="N25" s="103">
        <v>5</v>
      </c>
      <c r="O25" s="5">
        <v>0</v>
      </c>
      <c r="P25" s="5">
        <v>469962.51</v>
      </c>
      <c r="Q25" s="5">
        <v>469962.51</v>
      </c>
      <c r="R25" s="15">
        <f t="shared" si="1"/>
        <v>0</v>
      </c>
      <c r="S25" s="521">
        <f t="shared" si="2"/>
        <v>1</v>
      </c>
      <c r="T25" s="522">
        <f t="shared" si="3"/>
        <v>46</v>
      </c>
      <c r="V25" s="44">
        <f t="shared" si="4"/>
        <v>60</v>
      </c>
    </row>
    <row r="26" spans="1:22" s="507" customFormat="1" ht="16.5" thickBot="1" x14ac:dyDescent="0.3">
      <c r="A26" s="105" t="s">
        <v>2600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605">
        <f>SUM(M8:M25)</f>
        <v>1314832.9723999999</v>
      </c>
      <c r="N26" s="465"/>
      <c r="O26" s="605">
        <f>SUM(O8:O25)</f>
        <v>0</v>
      </c>
      <c r="P26" s="605">
        <v>1314794.9723999999</v>
      </c>
      <c r="Q26" s="605">
        <f>SUM(Q8:Q25)</f>
        <v>1314794.9723999999</v>
      </c>
      <c r="R26" s="605">
        <f>SUM(R8:R25)</f>
        <v>0</v>
      </c>
      <c r="S26" s="605">
        <f>SUM(S8:S25)</f>
        <v>38.000000000060936</v>
      </c>
      <c r="V26" s="44"/>
    </row>
    <row r="27" spans="1:22" s="506" customFormat="1" ht="16.5" thickTop="1" x14ac:dyDescent="0.25">
      <c r="C27" s="508"/>
      <c r="D27" s="508"/>
      <c r="M27" s="509"/>
      <c r="O27" s="510"/>
      <c r="P27" s="510"/>
      <c r="Q27" s="509"/>
      <c r="R27" s="509"/>
      <c r="S27" s="510"/>
      <c r="V27" s="44"/>
    </row>
    <row r="28" spans="1:22" s="506" customFormat="1" ht="15.75" x14ac:dyDescent="0.25">
      <c r="C28" s="508"/>
      <c r="D28" s="508"/>
      <c r="O28" s="510"/>
      <c r="P28" s="510"/>
      <c r="Q28" s="509"/>
      <c r="R28" s="509"/>
      <c r="V28" s="44"/>
    </row>
    <row r="29" spans="1:22" s="485" customFormat="1" ht="15.75" x14ac:dyDescent="0.25">
      <c r="B29" s="98" t="s">
        <v>2601</v>
      </c>
      <c r="C29" s="486"/>
      <c r="D29" s="486"/>
      <c r="E29" s="98" t="s">
        <v>2602</v>
      </c>
      <c r="F29" s="132" t="str">
        <f>CONCATENATE(G29,"/",H29,"/",I29,)</f>
        <v>15/6/2010</v>
      </c>
      <c r="G29" s="40">
        <v>15</v>
      </c>
      <c r="H29" s="40">
        <v>6</v>
      </c>
      <c r="I29" s="40">
        <v>2010</v>
      </c>
      <c r="J29" s="40" t="s">
        <v>2603</v>
      </c>
      <c r="K29" s="40">
        <v>38110</v>
      </c>
      <c r="L29" s="40" t="s">
        <v>2574</v>
      </c>
      <c r="M29" s="5">
        <v>12180</v>
      </c>
      <c r="N29" s="103">
        <v>5</v>
      </c>
      <c r="O29" s="5">
        <v>0</v>
      </c>
      <c r="P29" s="5">
        <v>12179</v>
      </c>
      <c r="Q29" s="455">
        <v>12179</v>
      </c>
      <c r="R29" s="15">
        <f t="shared" ref="R29" si="5">+Q29-P29</f>
        <v>0</v>
      </c>
      <c r="S29" s="455">
        <f>M29-Q29</f>
        <v>1</v>
      </c>
      <c r="T29" s="505">
        <f>((2011-I29)*12)+(12-H29)+1</f>
        <v>19</v>
      </c>
      <c r="V29" s="44">
        <f t="shared" si="4"/>
        <v>60</v>
      </c>
    </row>
    <row r="30" spans="1:22" s="511" customFormat="1" ht="15.75" x14ac:dyDescent="0.25">
      <c r="B30" s="98" t="s">
        <v>2604</v>
      </c>
      <c r="C30" s="512"/>
      <c r="D30" s="512"/>
      <c r="M30" s="5">
        <v>661552</v>
      </c>
      <c r="N30" s="103">
        <v>5</v>
      </c>
      <c r="O30" s="5">
        <v>13922.85</v>
      </c>
      <c r="P30" s="5">
        <v>647629.15</v>
      </c>
      <c r="Q30" s="5">
        <f>647629.15+O30</f>
        <v>661552</v>
      </c>
      <c r="R30" s="5">
        <f>Q30-P30</f>
        <v>13922.849999999977</v>
      </c>
      <c r="S30" s="5">
        <f>M30-Q30+1</f>
        <v>1</v>
      </c>
      <c r="T30" s="513"/>
    </row>
    <row r="31" spans="1:22" s="485" customFormat="1" ht="16.5" thickBot="1" x14ac:dyDescent="0.3">
      <c r="A31" s="105" t="s">
        <v>2627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605">
        <f>SUM(M29:M30)</f>
        <v>673732</v>
      </c>
      <c r="N31" s="465"/>
      <c r="O31" s="605">
        <f>SUM(O29:O30)</f>
        <v>13922.85</v>
      </c>
      <c r="P31" s="605">
        <v>659808.15</v>
      </c>
      <c r="Q31" s="605">
        <f>SUM(Q29:Q30)</f>
        <v>673731</v>
      </c>
      <c r="R31" s="605">
        <f>SUM(R29:R30)</f>
        <v>13922.849999999977</v>
      </c>
      <c r="S31" s="605">
        <f>SUM(S29:S30)</f>
        <v>2</v>
      </c>
      <c r="T31" s="505"/>
    </row>
    <row r="32" spans="1:22" s="485" customFormat="1" ht="16.5" thickTop="1" x14ac:dyDescent="0.25">
      <c r="C32" s="486"/>
      <c r="D32" s="486"/>
      <c r="M32" s="514"/>
      <c r="N32" s="515"/>
      <c r="O32" s="504"/>
      <c r="P32" s="504"/>
      <c r="Q32" s="503"/>
      <c r="R32" s="503"/>
      <c r="S32" s="504"/>
      <c r="T32" s="505"/>
    </row>
    <row r="33" spans="1:22" s="503" customFormat="1" ht="16.5" thickBot="1" x14ac:dyDescent="0.3">
      <c r="A33" s="22" t="s">
        <v>599</v>
      </c>
      <c r="C33" s="516"/>
      <c r="D33" s="516"/>
      <c r="M33" s="472">
        <f>+M26+M31</f>
        <v>1988564.9723999999</v>
      </c>
      <c r="N33" s="621"/>
      <c r="O33" s="472">
        <f>+O26+O31</f>
        <v>13922.85</v>
      </c>
      <c r="P33" s="472">
        <v>1974603.1223999998</v>
      </c>
      <c r="Q33" s="472">
        <f>+Q26+Q31</f>
        <v>1988525.9723999999</v>
      </c>
      <c r="R33" s="472">
        <f>+R26+R31</f>
        <v>13922.849999999977</v>
      </c>
      <c r="S33" s="472">
        <f>+S26+S31</f>
        <v>40.000000000060936</v>
      </c>
    </row>
    <row r="34" spans="1:22" s="485" customFormat="1" ht="13.5" thickTop="1" x14ac:dyDescent="0.2">
      <c r="C34" s="486"/>
      <c r="D34" s="486"/>
      <c r="O34" s="504"/>
      <c r="P34" s="504"/>
      <c r="Q34" s="503"/>
      <c r="R34" s="503"/>
    </row>
    <row r="35" spans="1:22" s="485" customFormat="1" x14ac:dyDescent="0.2">
      <c r="C35" s="486"/>
      <c r="D35" s="486"/>
      <c r="O35" s="504"/>
      <c r="P35" s="504"/>
      <c r="Q35" s="503"/>
      <c r="R35" s="503"/>
    </row>
    <row r="36" spans="1:22" s="485" customFormat="1" ht="15.75" x14ac:dyDescent="0.25">
      <c r="B36" s="98" t="s">
        <v>2605</v>
      </c>
      <c r="C36" s="98" t="s">
        <v>2606</v>
      </c>
      <c r="D36" s="98" t="s">
        <v>2607</v>
      </c>
      <c r="E36" s="98" t="s">
        <v>555</v>
      </c>
      <c r="F36" s="234" t="str">
        <f t="shared" ref="F36:F47" si="6">CONCATENATE(G36,"/",H36,"/",I36,)</f>
        <v>8/5/2012</v>
      </c>
      <c r="G36" s="40">
        <v>8</v>
      </c>
      <c r="H36" s="40">
        <v>5</v>
      </c>
      <c r="I36" s="40">
        <v>2012</v>
      </c>
      <c r="J36" s="40" t="s">
        <v>1817</v>
      </c>
      <c r="K36" s="40" t="s">
        <v>706</v>
      </c>
      <c r="L36" s="40" t="s">
        <v>2608</v>
      </c>
      <c r="M36" s="5">
        <v>38117.18</v>
      </c>
      <c r="N36" s="103">
        <v>5</v>
      </c>
      <c r="O36" s="5">
        <f>(((M36)-1)/5)/12</f>
        <v>635.26966666666669</v>
      </c>
      <c r="P36" s="5">
        <v>27316.595666666668</v>
      </c>
      <c r="Q36" s="455">
        <f>O36*V36</f>
        <v>27951.865333333335</v>
      </c>
      <c r="R36" s="15">
        <f>Q36-P36</f>
        <v>635.26966666666704</v>
      </c>
      <c r="S36" s="455">
        <f t="shared" ref="S36:S47" si="7">M36-Q36</f>
        <v>10165.314666666665</v>
      </c>
      <c r="T36" s="505"/>
      <c r="V36" s="44">
        <f>IF((DATEDIF(F36,V$5,"m"))&gt;=60,60,(DATEDIF(F36,V$5,"m")))</f>
        <v>44</v>
      </c>
    </row>
    <row r="37" spans="1:22" s="485" customFormat="1" ht="15.75" x14ac:dyDescent="0.25">
      <c r="B37" s="98" t="s">
        <v>2605</v>
      </c>
      <c r="C37" s="98" t="s">
        <v>2606</v>
      </c>
      <c r="D37" s="98" t="s">
        <v>2607</v>
      </c>
      <c r="E37" s="98" t="s">
        <v>555</v>
      </c>
      <c r="F37" s="234" t="str">
        <f t="shared" si="6"/>
        <v>8/5/2012</v>
      </c>
      <c r="G37" s="40">
        <v>8</v>
      </c>
      <c r="H37" s="40">
        <v>5</v>
      </c>
      <c r="I37" s="40">
        <v>2012</v>
      </c>
      <c r="J37" s="40" t="s">
        <v>1817</v>
      </c>
      <c r="K37" s="40" t="s">
        <v>706</v>
      </c>
      <c r="L37" s="40" t="s">
        <v>2608</v>
      </c>
      <c r="M37" s="5">
        <v>38117.18</v>
      </c>
      <c r="N37" s="103">
        <v>5</v>
      </c>
      <c r="O37" s="5">
        <f t="shared" ref="O37:O47" si="8">(((M37)-1)/5)/12</f>
        <v>635.26966666666669</v>
      </c>
      <c r="P37" s="5">
        <v>27316.595666666668</v>
      </c>
      <c r="Q37" s="455">
        <f t="shared" ref="Q37:Q47" si="9">O37*V37</f>
        <v>27951.865333333335</v>
      </c>
      <c r="R37" s="15">
        <f t="shared" ref="R37:R47" si="10">Q37-P37</f>
        <v>635.26966666666704</v>
      </c>
      <c r="S37" s="455">
        <f t="shared" si="7"/>
        <v>10165.314666666665</v>
      </c>
      <c r="T37" s="505"/>
      <c r="V37" s="44">
        <f t="shared" ref="V37:V47" si="11">IF((DATEDIF(F37,V$5,"m"))&gt;=60,60,(DATEDIF(F37,V$5,"m")))</f>
        <v>44</v>
      </c>
    </row>
    <row r="38" spans="1:22" s="485" customFormat="1" ht="15.75" x14ac:dyDescent="0.25">
      <c r="B38" s="98" t="s">
        <v>2605</v>
      </c>
      <c r="C38" s="98" t="s">
        <v>2606</v>
      </c>
      <c r="D38" s="98" t="s">
        <v>2607</v>
      </c>
      <c r="E38" s="98" t="s">
        <v>555</v>
      </c>
      <c r="F38" s="234" t="str">
        <f t="shared" si="6"/>
        <v>8/5/2012</v>
      </c>
      <c r="G38" s="40">
        <v>8</v>
      </c>
      <c r="H38" s="40">
        <v>5</v>
      </c>
      <c r="I38" s="40">
        <v>2012</v>
      </c>
      <c r="J38" s="40" t="s">
        <v>1817</v>
      </c>
      <c r="K38" s="40" t="s">
        <v>706</v>
      </c>
      <c r="L38" s="40" t="s">
        <v>2608</v>
      </c>
      <c r="M38" s="5">
        <v>38117.18</v>
      </c>
      <c r="N38" s="103">
        <v>5</v>
      </c>
      <c r="O38" s="5">
        <f t="shared" si="8"/>
        <v>635.26966666666669</v>
      </c>
      <c r="P38" s="5">
        <v>27316.595666666668</v>
      </c>
      <c r="Q38" s="455">
        <f t="shared" si="9"/>
        <v>27951.865333333335</v>
      </c>
      <c r="R38" s="15">
        <f t="shared" si="10"/>
        <v>635.26966666666704</v>
      </c>
      <c r="S38" s="455">
        <f t="shared" si="7"/>
        <v>10165.314666666665</v>
      </c>
      <c r="T38" s="505"/>
      <c r="V38" s="44">
        <f t="shared" si="11"/>
        <v>44</v>
      </c>
    </row>
    <row r="39" spans="1:22" s="485" customFormat="1" ht="15.75" x14ac:dyDescent="0.25">
      <c r="B39" s="98" t="s">
        <v>2605</v>
      </c>
      <c r="C39" s="98" t="s">
        <v>2606</v>
      </c>
      <c r="D39" s="98" t="s">
        <v>2607</v>
      </c>
      <c r="E39" s="98" t="s">
        <v>555</v>
      </c>
      <c r="F39" s="234" t="str">
        <f t="shared" si="6"/>
        <v>8/5/2012</v>
      </c>
      <c r="G39" s="40">
        <v>8</v>
      </c>
      <c r="H39" s="40">
        <v>5</v>
      </c>
      <c r="I39" s="40">
        <v>2012</v>
      </c>
      <c r="J39" s="40" t="s">
        <v>1817</v>
      </c>
      <c r="K39" s="40" t="s">
        <v>706</v>
      </c>
      <c r="L39" s="40" t="s">
        <v>2608</v>
      </c>
      <c r="M39" s="5">
        <v>38117.18</v>
      </c>
      <c r="N39" s="103">
        <v>5</v>
      </c>
      <c r="O39" s="5">
        <f t="shared" si="8"/>
        <v>635.26966666666669</v>
      </c>
      <c r="P39" s="5">
        <v>27316.595666666668</v>
      </c>
      <c r="Q39" s="455">
        <f t="shared" si="9"/>
        <v>27951.865333333335</v>
      </c>
      <c r="R39" s="15">
        <f t="shared" si="10"/>
        <v>635.26966666666704</v>
      </c>
      <c r="S39" s="455">
        <f t="shared" si="7"/>
        <v>10165.314666666665</v>
      </c>
      <c r="T39" s="505"/>
      <c r="V39" s="44">
        <f t="shared" si="11"/>
        <v>44</v>
      </c>
    </row>
    <row r="40" spans="1:22" s="485" customFormat="1" ht="15.75" x14ac:dyDescent="0.25">
      <c r="B40" s="98" t="s">
        <v>2605</v>
      </c>
      <c r="C40" s="98" t="s">
        <v>2606</v>
      </c>
      <c r="D40" s="98" t="s">
        <v>2607</v>
      </c>
      <c r="E40" s="98" t="s">
        <v>555</v>
      </c>
      <c r="F40" s="234" t="str">
        <f t="shared" si="6"/>
        <v>8/5/2012</v>
      </c>
      <c r="G40" s="40">
        <v>8</v>
      </c>
      <c r="H40" s="40">
        <v>5</v>
      </c>
      <c r="I40" s="40">
        <v>2012</v>
      </c>
      <c r="J40" s="40" t="s">
        <v>1817</v>
      </c>
      <c r="K40" s="40" t="s">
        <v>706</v>
      </c>
      <c r="L40" s="40" t="s">
        <v>2608</v>
      </c>
      <c r="M40" s="5">
        <v>38117.18</v>
      </c>
      <c r="N40" s="103">
        <v>5</v>
      </c>
      <c r="O40" s="5">
        <f t="shared" si="8"/>
        <v>635.26966666666669</v>
      </c>
      <c r="P40" s="5">
        <v>27316.595666666668</v>
      </c>
      <c r="Q40" s="455">
        <f t="shared" si="9"/>
        <v>27951.865333333335</v>
      </c>
      <c r="R40" s="15">
        <f t="shared" si="10"/>
        <v>635.26966666666704</v>
      </c>
      <c r="S40" s="455">
        <f t="shared" si="7"/>
        <v>10165.314666666665</v>
      </c>
      <c r="T40" s="505"/>
      <c r="V40" s="44">
        <f t="shared" si="11"/>
        <v>44</v>
      </c>
    </row>
    <row r="41" spans="1:22" s="485" customFormat="1" ht="15.75" x14ac:dyDescent="0.25">
      <c r="B41" s="98" t="s">
        <v>2605</v>
      </c>
      <c r="C41" s="98" t="s">
        <v>2606</v>
      </c>
      <c r="D41" s="98" t="s">
        <v>2607</v>
      </c>
      <c r="E41" s="98" t="s">
        <v>555</v>
      </c>
      <c r="F41" s="234" t="str">
        <f t="shared" si="6"/>
        <v>8/5/2012</v>
      </c>
      <c r="G41" s="40">
        <v>8</v>
      </c>
      <c r="H41" s="40">
        <v>5</v>
      </c>
      <c r="I41" s="40">
        <v>2012</v>
      </c>
      <c r="J41" s="40" t="s">
        <v>1817</v>
      </c>
      <c r="K41" s="40" t="s">
        <v>706</v>
      </c>
      <c r="L41" s="40" t="s">
        <v>2608</v>
      </c>
      <c r="M41" s="5">
        <v>38117.18</v>
      </c>
      <c r="N41" s="103">
        <v>5</v>
      </c>
      <c r="O41" s="5">
        <f t="shared" si="8"/>
        <v>635.26966666666669</v>
      </c>
      <c r="P41" s="5">
        <v>27316.595666666668</v>
      </c>
      <c r="Q41" s="455">
        <f t="shared" si="9"/>
        <v>27951.865333333335</v>
      </c>
      <c r="R41" s="15">
        <f t="shared" si="10"/>
        <v>635.26966666666704</v>
      </c>
      <c r="S41" s="455">
        <f t="shared" si="7"/>
        <v>10165.314666666665</v>
      </c>
      <c r="T41" s="505"/>
      <c r="V41" s="44">
        <f t="shared" si="11"/>
        <v>44</v>
      </c>
    </row>
    <row r="42" spans="1:22" ht="15.75" x14ac:dyDescent="0.25">
      <c r="B42" s="98" t="s">
        <v>2605</v>
      </c>
      <c r="C42" s="98" t="s">
        <v>2606</v>
      </c>
      <c r="D42" s="98" t="s">
        <v>2607</v>
      </c>
      <c r="E42" s="98" t="s">
        <v>555</v>
      </c>
      <c r="F42" s="234" t="str">
        <f t="shared" si="6"/>
        <v>8/5/2012</v>
      </c>
      <c r="G42" s="40">
        <v>8</v>
      </c>
      <c r="H42" s="40">
        <v>5</v>
      </c>
      <c r="I42" s="40">
        <v>2012</v>
      </c>
      <c r="J42" s="40" t="s">
        <v>1817</v>
      </c>
      <c r="K42" s="40" t="s">
        <v>706</v>
      </c>
      <c r="L42" s="40" t="s">
        <v>2608</v>
      </c>
      <c r="M42" s="5">
        <v>38117.180999999997</v>
      </c>
      <c r="N42" s="103">
        <v>5</v>
      </c>
      <c r="O42" s="5">
        <f t="shared" si="8"/>
        <v>635.26968333333332</v>
      </c>
      <c r="P42" s="5">
        <v>27316.596383333334</v>
      </c>
      <c r="Q42" s="455">
        <f t="shared" si="9"/>
        <v>27951.866066666666</v>
      </c>
      <c r="R42" s="15">
        <f t="shared" si="10"/>
        <v>635.26968333333207</v>
      </c>
      <c r="S42" s="455">
        <f t="shared" si="7"/>
        <v>10165.314933333331</v>
      </c>
      <c r="T42" s="505"/>
      <c r="U42" s="485"/>
      <c r="V42" s="44">
        <f t="shared" si="11"/>
        <v>44</v>
      </c>
    </row>
    <row r="43" spans="1:22" ht="15.75" x14ac:dyDescent="0.25">
      <c r="B43" s="98" t="s">
        <v>2605</v>
      </c>
      <c r="C43" s="98" t="s">
        <v>2606</v>
      </c>
      <c r="D43" s="98" t="s">
        <v>2607</v>
      </c>
      <c r="E43" s="98" t="s">
        <v>555</v>
      </c>
      <c r="F43" s="234" t="str">
        <f t="shared" si="6"/>
        <v>8/5/2012</v>
      </c>
      <c r="G43" s="40">
        <v>8</v>
      </c>
      <c r="H43" s="40">
        <v>5</v>
      </c>
      <c r="I43" s="40">
        <v>2012</v>
      </c>
      <c r="J43" s="40" t="s">
        <v>1817</v>
      </c>
      <c r="K43" s="40" t="s">
        <v>706</v>
      </c>
      <c r="L43" s="40" t="s">
        <v>2608</v>
      </c>
      <c r="M43" s="5">
        <v>38117.180999999997</v>
      </c>
      <c r="N43" s="103">
        <v>5</v>
      </c>
      <c r="O43" s="5">
        <f t="shared" si="8"/>
        <v>635.26968333333332</v>
      </c>
      <c r="P43" s="5">
        <v>27316.596383333334</v>
      </c>
      <c r="Q43" s="455">
        <f t="shared" si="9"/>
        <v>27951.866066666666</v>
      </c>
      <c r="R43" s="15">
        <f t="shared" si="10"/>
        <v>635.26968333333207</v>
      </c>
      <c r="S43" s="455">
        <f t="shared" si="7"/>
        <v>10165.314933333331</v>
      </c>
      <c r="T43" s="505"/>
      <c r="U43" s="485"/>
      <c r="V43" s="44">
        <f t="shared" si="11"/>
        <v>44</v>
      </c>
    </row>
    <row r="44" spans="1:22" ht="15.75" x14ac:dyDescent="0.25">
      <c r="B44" s="98" t="s">
        <v>2605</v>
      </c>
      <c r="C44" s="98" t="s">
        <v>2606</v>
      </c>
      <c r="D44" s="98" t="s">
        <v>2607</v>
      </c>
      <c r="E44" s="98" t="s">
        <v>555</v>
      </c>
      <c r="F44" s="234" t="str">
        <f t="shared" si="6"/>
        <v>8/5/2012</v>
      </c>
      <c r="G44" s="40">
        <v>8</v>
      </c>
      <c r="H44" s="40">
        <v>5</v>
      </c>
      <c r="I44" s="40">
        <v>2012</v>
      </c>
      <c r="J44" s="40" t="s">
        <v>1817</v>
      </c>
      <c r="K44" s="40" t="s">
        <v>706</v>
      </c>
      <c r="L44" s="40" t="s">
        <v>2608</v>
      </c>
      <c r="M44" s="5">
        <v>38117.180999999997</v>
      </c>
      <c r="N44" s="103">
        <v>5</v>
      </c>
      <c r="O44" s="5">
        <f t="shared" si="8"/>
        <v>635.26968333333332</v>
      </c>
      <c r="P44" s="5">
        <v>27316.596383333334</v>
      </c>
      <c r="Q44" s="455">
        <f t="shared" si="9"/>
        <v>27951.866066666666</v>
      </c>
      <c r="R44" s="15">
        <f t="shared" si="10"/>
        <v>635.26968333333207</v>
      </c>
      <c r="S44" s="455">
        <f t="shared" si="7"/>
        <v>10165.314933333331</v>
      </c>
      <c r="T44" s="505"/>
      <c r="U44" s="485"/>
      <c r="V44" s="44">
        <f t="shared" si="11"/>
        <v>44</v>
      </c>
    </row>
    <row r="45" spans="1:22" ht="15.75" x14ac:dyDescent="0.25">
      <c r="B45" s="98" t="s">
        <v>2605</v>
      </c>
      <c r="C45" s="98" t="s">
        <v>2606</v>
      </c>
      <c r="D45" s="98" t="s">
        <v>2607</v>
      </c>
      <c r="E45" s="98" t="s">
        <v>555</v>
      </c>
      <c r="F45" s="234" t="str">
        <f t="shared" si="6"/>
        <v>8/5/2012</v>
      </c>
      <c r="G45" s="40">
        <v>8</v>
      </c>
      <c r="H45" s="40">
        <v>5</v>
      </c>
      <c r="I45" s="40">
        <v>2012</v>
      </c>
      <c r="J45" s="40" t="s">
        <v>1817</v>
      </c>
      <c r="K45" s="40" t="s">
        <v>706</v>
      </c>
      <c r="L45" s="40" t="s">
        <v>2608</v>
      </c>
      <c r="M45" s="5">
        <v>38117.180999999997</v>
      </c>
      <c r="N45" s="103">
        <v>5</v>
      </c>
      <c r="O45" s="5">
        <f t="shared" si="8"/>
        <v>635.26968333333332</v>
      </c>
      <c r="P45" s="5">
        <v>27316.596383333334</v>
      </c>
      <c r="Q45" s="455">
        <f t="shared" si="9"/>
        <v>27951.866066666666</v>
      </c>
      <c r="R45" s="15">
        <f t="shared" si="10"/>
        <v>635.26968333333207</v>
      </c>
      <c r="S45" s="455">
        <f t="shared" si="7"/>
        <v>10165.314933333331</v>
      </c>
      <c r="T45" s="505"/>
      <c r="U45" s="485"/>
      <c r="V45" s="44">
        <f t="shared" si="11"/>
        <v>44</v>
      </c>
    </row>
    <row r="46" spans="1:22" ht="15.75" x14ac:dyDescent="0.25">
      <c r="B46" s="98" t="s">
        <v>2605</v>
      </c>
      <c r="C46" s="98" t="s">
        <v>2606</v>
      </c>
      <c r="D46" s="98" t="s">
        <v>2607</v>
      </c>
      <c r="E46" s="98" t="s">
        <v>555</v>
      </c>
      <c r="F46" s="234" t="str">
        <f t="shared" si="6"/>
        <v>8/5/2012</v>
      </c>
      <c r="G46" s="40">
        <v>8</v>
      </c>
      <c r="H46" s="40">
        <v>5</v>
      </c>
      <c r="I46" s="40">
        <v>2012</v>
      </c>
      <c r="J46" s="40" t="s">
        <v>1817</v>
      </c>
      <c r="K46" s="40" t="s">
        <v>706</v>
      </c>
      <c r="L46" s="40" t="s">
        <v>2608</v>
      </c>
      <c r="M46" s="5">
        <v>38117.180999999997</v>
      </c>
      <c r="N46" s="103">
        <v>5</v>
      </c>
      <c r="O46" s="5">
        <f t="shared" si="8"/>
        <v>635.26968333333332</v>
      </c>
      <c r="P46" s="5">
        <v>27316.596383333334</v>
      </c>
      <c r="Q46" s="455">
        <f t="shared" si="9"/>
        <v>27951.866066666666</v>
      </c>
      <c r="R46" s="15">
        <f t="shared" si="10"/>
        <v>635.26968333333207</v>
      </c>
      <c r="S46" s="455">
        <f t="shared" si="7"/>
        <v>10165.314933333331</v>
      </c>
      <c r="T46" s="505"/>
      <c r="U46" s="485"/>
      <c r="V46" s="44">
        <f t="shared" si="11"/>
        <v>44</v>
      </c>
    </row>
    <row r="47" spans="1:22" ht="15.75" x14ac:dyDescent="0.25">
      <c r="B47" s="98" t="s">
        <v>2605</v>
      </c>
      <c r="C47" s="98" t="s">
        <v>2606</v>
      </c>
      <c r="D47" s="98" t="s">
        <v>2607</v>
      </c>
      <c r="E47" s="98" t="s">
        <v>555</v>
      </c>
      <c r="F47" s="234" t="str">
        <f t="shared" si="6"/>
        <v>8/5/2012</v>
      </c>
      <c r="G47" s="40">
        <v>8</v>
      </c>
      <c r="H47" s="40">
        <v>5</v>
      </c>
      <c r="I47" s="40">
        <v>2012</v>
      </c>
      <c r="J47" s="40" t="s">
        <v>1817</v>
      </c>
      <c r="K47" s="40" t="s">
        <v>706</v>
      </c>
      <c r="L47" s="40" t="s">
        <v>2608</v>
      </c>
      <c r="M47" s="5">
        <v>38117.180999999997</v>
      </c>
      <c r="N47" s="103">
        <v>5</v>
      </c>
      <c r="O47" s="5">
        <f t="shared" si="8"/>
        <v>635.26968333333332</v>
      </c>
      <c r="P47" s="5">
        <v>27316.596383333334</v>
      </c>
      <c r="Q47" s="455">
        <f t="shared" si="9"/>
        <v>27951.866066666666</v>
      </c>
      <c r="R47" s="15">
        <f t="shared" si="10"/>
        <v>635.26968333333207</v>
      </c>
      <c r="S47" s="455">
        <f t="shared" si="7"/>
        <v>10165.314933333331</v>
      </c>
      <c r="T47" s="505"/>
      <c r="U47" s="485"/>
      <c r="V47" s="44">
        <f t="shared" si="11"/>
        <v>44</v>
      </c>
    </row>
    <row r="48" spans="1:22" ht="15.75" x14ac:dyDescent="0.25">
      <c r="A48" s="105" t="s">
        <v>2628</v>
      </c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15">
        <f>SUM(M36:M47)</f>
        <v>457406.16599999991</v>
      </c>
      <c r="N48" s="422"/>
      <c r="O48" s="115">
        <f>SUM(O36:O47)</f>
        <v>7623.2360999999983</v>
      </c>
      <c r="P48" s="115">
        <v>327799.15229999996</v>
      </c>
      <c r="Q48" s="115">
        <f>SUM(Q36:Q47)</f>
        <v>335422.3884</v>
      </c>
      <c r="R48" s="115">
        <f>SUM(R36:R47)</f>
        <v>7623.2360999999946</v>
      </c>
      <c r="S48" s="115">
        <f>SUM(S36:S47)</f>
        <v>121983.77759999996</v>
      </c>
    </row>
    <row r="49" spans="1:22" x14ac:dyDescent="0.2">
      <c r="M49" s="514"/>
      <c r="N49" s="514"/>
      <c r="O49" s="514"/>
      <c r="P49" s="514"/>
      <c r="Q49" s="514"/>
      <c r="R49" s="514"/>
      <c r="S49" s="514"/>
    </row>
    <row r="50" spans="1:22" s="503" customFormat="1" ht="16.5" thickBot="1" x14ac:dyDescent="0.3">
      <c r="A50" s="22" t="s">
        <v>724</v>
      </c>
      <c r="C50" s="516"/>
      <c r="D50" s="516"/>
      <c r="M50" s="472">
        <f>+M48+M33</f>
        <v>2445971.1383999996</v>
      </c>
      <c r="N50" s="465"/>
      <c r="O50" s="472">
        <f>+O48+O33</f>
        <v>21546.0861</v>
      </c>
      <c r="P50" s="472">
        <v>2302402.2747</v>
      </c>
      <c r="Q50" s="472">
        <f>+Q48+Q33</f>
        <v>2323948.3607999999</v>
      </c>
      <c r="R50" s="472">
        <f>+R48+R33</f>
        <v>21546.086099999971</v>
      </c>
      <c r="S50" s="472">
        <f>+S48+S33</f>
        <v>122023.77760000002</v>
      </c>
    </row>
    <row r="51" spans="1:22" ht="13.5" thickTop="1" x14ac:dyDescent="0.2">
      <c r="M51" s="514"/>
      <c r="N51" s="514"/>
      <c r="O51" s="514"/>
      <c r="P51" s="514"/>
      <c r="Q51" s="514"/>
      <c r="R51" s="514"/>
      <c r="S51" s="514"/>
    </row>
    <row r="52" spans="1:22" ht="15.75" x14ac:dyDescent="0.25">
      <c r="B52" s="98" t="s">
        <v>2609</v>
      </c>
      <c r="C52" s="98"/>
      <c r="D52" s="98"/>
      <c r="E52" s="98" t="s">
        <v>2610</v>
      </c>
      <c r="F52" s="132">
        <v>41569</v>
      </c>
      <c r="G52" s="40">
        <v>22</v>
      </c>
      <c r="H52" s="40">
        <v>10</v>
      </c>
      <c r="I52" s="40">
        <v>2013</v>
      </c>
      <c r="J52" s="40" t="s">
        <v>1817</v>
      </c>
      <c r="K52" s="40" t="s">
        <v>2611</v>
      </c>
      <c r="L52" s="40" t="s">
        <v>2608</v>
      </c>
      <c r="M52" s="5">
        <v>6138.91358024691</v>
      </c>
      <c r="N52" s="103">
        <v>5</v>
      </c>
      <c r="O52" s="5">
        <f>(((M52)-1)/5)/12</f>
        <v>102.29855967078184</v>
      </c>
      <c r="P52" s="5">
        <v>2659.762551440328</v>
      </c>
      <c r="Q52" s="455">
        <f>O52*V52</f>
        <v>2762.0611111111098</v>
      </c>
      <c r="R52" s="15">
        <f t="shared" ref="R52:R59" si="12">Q52-P52</f>
        <v>102.29855967078174</v>
      </c>
      <c r="S52" s="455">
        <f t="shared" ref="S52:S59" si="13">M52-Q52</f>
        <v>3376.8524691358002</v>
      </c>
      <c r="T52" s="505">
        <v>18554</v>
      </c>
      <c r="U52" s="485"/>
      <c r="V52" s="44">
        <f t="shared" ref="V52:V59" si="14">IF((DATEDIF(F52,V$5,"m"))&gt;=60,60,(DATEDIF(F52,V$5,"m")))</f>
        <v>27</v>
      </c>
    </row>
    <row r="53" spans="1:22" ht="15.75" x14ac:dyDescent="0.25">
      <c r="B53" s="98" t="s">
        <v>2609</v>
      </c>
      <c r="C53" s="98"/>
      <c r="D53" s="98"/>
      <c r="E53" s="98" t="s">
        <v>2610</v>
      </c>
      <c r="F53" s="132">
        <v>41569</v>
      </c>
      <c r="G53" s="40">
        <v>22</v>
      </c>
      <c r="H53" s="40">
        <v>10</v>
      </c>
      <c r="I53" s="40">
        <v>2013</v>
      </c>
      <c r="J53" s="40" t="s">
        <v>1817</v>
      </c>
      <c r="K53" s="40" t="s">
        <v>2611</v>
      </c>
      <c r="L53" s="40" t="s">
        <v>2608</v>
      </c>
      <c r="M53" s="5">
        <v>6138.91358024691</v>
      </c>
      <c r="N53" s="103">
        <v>5</v>
      </c>
      <c r="O53" s="5">
        <f t="shared" ref="O53:O59" si="15">(((M53)-1)/5)/12</f>
        <v>102.29855967078184</v>
      </c>
      <c r="P53" s="5">
        <v>2659.762551440328</v>
      </c>
      <c r="Q53" s="455">
        <f t="shared" ref="Q53:Q59" si="16">O53*V53</f>
        <v>2762.0611111111098</v>
      </c>
      <c r="R53" s="15">
        <f t="shared" si="12"/>
        <v>102.29855967078174</v>
      </c>
      <c r="S53" s="455">
        <f t="shared" si="13"/>
        <v>3376.8524691358002</v>
      </c>
      <c r="T53" s="505">
        <v>18554</v>
      </c>
      <c r="U53" s="485"/>
      <c r="V53" s="44">
        <f t="shared" si="14"/>
        <v>27</v>
      </c>
    </row>
    <row r="54" spans="1:22" ht="15.75" x14ac:dyDescent="0.25">
      <c r="B54" s="98" t="s">
        <v>2612</v>
      </c>
      <c r="C54" s="98"/>
      <c r="D54" s="98"/>
      <c r="E54" s="98" t="s">
        <v>2610</v>
      </c>
      <c r="F54" s="132">
        <v>41569</v>
      </c>
      <c r="G54" s="40">
        <v>22</v>
      </c>
      <c r="H54" s="40">
        <v>10</v>
      </c>
      <c r="I54" s="40">
        <v>2013</v>
      </c>
      <c r="J54" s="40" t="s">
        <v>1817</v>
      </c>
      <c r="K54" s="40" t="s">
        <v>2611</v>
      </c>
      <c r="L54" s="40" t="s">
        <v>2608</v>
      </c>
      <c r="M54" s="5">
        <v>2712.54320987654</v>
      </c>
      <c r="N54" s="103">
        <v>5</v>
      </c>
      <c r="O54" s="5">
        <f t="shared" si="15"/>
        <v>45.192386831275662</v>
      </c>
      <c r="P54" s="5">
        <v>1175.0020576131672</v>
      </c>
      <c r="Q54" s="455">
        <f t="shared" si="16"/>
        <v>1220.194444444443</v>
      </c>
      <c r="R54" s="15">
        <f t="shared" si="12"/>
        <v>45.192386831275826</v>
      </c>
      <c r="S54" s="455">
        <f t="shared" si="13"/>
        <v>1492.348765432097</v>
      </c>
      <c r="T54" s="505">
        <v>18554</v>
      </c>
      <c r="U54" s="485"/>
      <c r="V54" s="44">
        <f t="shared" si="14"/>
        <v>27</v>
      </c>
    </row>
    <row r="55" spans="1:22" ht="15.75" x14ac:dyDescent="0.25">
      <c r="B55" s="98" t="s">
        <v>2612</v>
      </c>
      <c r="C55" s="98"/>
      <c r="D55" s="98"/>
      <c r="E55" s="98" t="s">
        <v>2610</v>
      </c>
      <c r="F55" s="132">
        <v>41569</v>
      </c>
      <c r="G55" s="40">
        <v>22</v>
      </c>
      <c r="H55" s="40">
        <v>10</v>
      </c>
      <c r="I55" s="40">
        <v>2013</v>
      </c>
      <c r="J55" s="40" t="s">
        <v>1817</v>
      </c>
      <c r="K55" s="40" t="s">
        <v>2611</v>
      </c>
      <c r="L55" s="40" t="s">
        <v>2608</v>
      </c>
      <c r="M55" s="5">
        <v>2712.54320987654</v>
      </c>
      <c r="N55" s="103">
        <v>5</v>
      </c>
      <c r="O55" s="5">
        <f t="shared" si="15"/>
        <v>45.192386831275662</v>
      </c>
      <c r="P55" s="5">
        <v>1175.0020576131672</v>
      </c>
      <c r="Q55" s="455">
        <f t="shared" si="16"/>
        <v>1220.194444444443</v>
      </c>
      <c r="R55" s="15">
        <f t="shared" si="12"/>
        <v>45.192386831275826</v>
      </c>
      <c r="S55" s="455">
        <f t="shared" si="13"/>
        <v>1492.348765432097</v>
      </c>
      <c r="T55" s="505">
        <v>18554</v>
      </c>
      <c r="U55" s="485"/>
      <c r="V55" s="44">
        <f t="shared" si="14"/>
        <v>27</v>
      </c>
    </row>
    <row r="56" spans="1:22" ht="15.75" x14ac:dyDescent="0.25">
      <c r="B56" s="98" t="s">
        <v>2612</v>
      </c>
      <c r="C56" s="98"/>
      <c r="D56" s="98"/>
      <c r="E56" s="98" t="s">
        <v>2610</v>
      </c>
      <c r="F56" s="132">
        <v>41569</v>
      </c>
      <c r="G56" s="40">
        <v>22</v>
      </c>
      <c r="H56" s="40">
        <v>10</v>
      </c>
      <c r="I56" s="40">
        <v>2013</v>
      </c>
      <c r="J56" s="40" t="s">
        <v>1817</v>
      </c>
      <c r="K56" s="40" t="s">
        <v>2611</v>
      </c>
      <c r="L56" s="40" t="s">
        <v>2608</v>
      </c>
      <c r="M56" s="5">
        <v>2712.54320987654</v>
      </c>
      <c r="N56" s="103">
        <v>5</v>
      </c>
      <c r="O56" s="5">
        <f t="shared" si="15"/>
        <v>45.192386831275662</v>
      </c>
      <c r="P56" s="5">
        <v>1175.0020576131672</v>
      </c>
      <c r="Q56" s="455">
        <f t="shared" si="16"/>
        <v>1220.194444444443</v>
      </c>
      <c r="R56" s="15">
        <f t="shared" si="12"/>
        <v>45.192386831275826</v>
      </c>
      <c r="S56" s="455">
        <f t="shared" si="13"/>
        <v>1492.348765432097</v>
      </c>
      <c r="T56" s="505">
        <v>18554</v>
      </c>
      <c r="U56" s="485"/>
      <c r="V56" s="44">
        <f t="shared" si="14"/>
        <v>27</v>
      </c>
    </row>
    <row r="57" spans="1:22" ht="15.75" x14ac:dyDescent="0.25">
      <c r="B57" s="98" t="s">
        <v>2612</v>
      </c>
      <c r="C57" s="98"/>
      <c r="D57" s="98"/>
      <c r="E57" s="98" t="s">
        <v>2610</v>
      </c>
      <c r="F57" s="132">
        <v>41569</v>
      </c>
      <c r="G57" s="40">
        <v>22</v>
      </c>
      <c r="H57" s="40">
        <v>10</v>
      </c>
      <c r="I57" s="40">
        <v>2013</v>
      </c>
      <c r="J57" s="40" t="s">
        <v>1817</v>
      </c>
      <c r="K57" s="40" t="s">
        <v>2611</v>
      </c>
      <c r="L57" s="40" t="s">
        <v>2608</v>
      </c>
      <c r="M57" s="5">
        <v>2712.54320987654</v>
      </c>
      <c r="N57" s="103">
        <v>5</v>
      </c>
      <c r="O57" s="5">
        <f t="shared" si="15"/>
        <v>45.192386831275662</v>
      </c>
      <c r="P57" s="5">
        <v>1175.0020576131672</v>
      </c>
      <c r="Q57" s="455">
        <f t="shared" si="16"/>
        <v>1220.194444444443</v>
      </c>
      <c r="R57" s="15">
        <f t="shared" si="12"/>
        <v>45.192386831275826</v>
      </c>
      <c r="S57" s="455">
        <f t="shared" si="13"/>
        <v>1492.348765432097</v>
      </c>
      <c r="T57" s="505">
        <v>18554</v>
      </c>
      <c r="U57" s="485"/>
      <c r="V57" s="44">
        <f t="shared" si="14"/>
        <v>27</v>
      </c>
    </row>
    <row r="58" spans="1:22" ht="15.75" x14ac:dyDescent="0.25">
      <c r="B58" s="98" t="s">
        <v>2613</v>
      </c>
      <c r="C58" s="98" t="s">
        <v>2614</v>
      </c>
      <c r="D58" s="98"/>
      <c r="E58" s="98" t="s">
        <v>2610</v>
      </c>
      <c r="F58" s="132">
        <v>41569</v>
      </c>
      <c r="G58" s="40">
        <v>22</v>
      </c>
      <c r="H58" s="40">
        <v>10</v>
      </c>
      <c r="I58" s="40">
        <v>2013</v>
      </c>
      <c r="J58" s="40" t="s">
        <v>1817</v>
      </c>
      <c r="K58" s="40" t="s">
        <v>2615</v>
      </c>
      <c r="L58" s="40" t="s">
        <v>2608</v>
      </c>
      <c r="M58" s="5">
        <v>132250.85999999999</v>
      </c>
      <c r="N58" s="103">
        <v>5</v>
      </c>
      <c r="O58" s="5">
        <f t="shared" si="15"/>
        <v>2204.1643333333332</v>
      </c>
      <c r="P58" s="5">
        <v>57308.272666666664</v>
      </c>
      <c r="Q58" s="455">
        <f t="shared" si="16"/>
        <v>59512.436999999998</v>
      </c>
      <c r="R58" s="15">
        <f t="shared" si="12"/>
        <v>2204.1643333333341</v>
      </c>
      <c r="S58" s="455">
        <f t="shared" si="13"/>
        <v>72738.422999999981</v>
      </c>
      <c r="T58" s="505" t="s">
        <v>2616</v>
      </c>
      <c r="U58" s="485"/>
      <c r="V58" s="44">
        <f t="shared" si="14"/>
        <v>27</v>
      </c>
    </row>
    <row r="59" spans="1:22" ht="15.75" x14ac:dyDescent="0.25">
      <c r="B59" s="98" t="s">
        <v>2613</v>
      </c>
      <c r="C59" s="98" t="s">
        <v>2614</v>
      </c>
      <c r="D59" s="98"/>
      <c r="E59" s="98" t="s">
        <v>2610</v>
      </c>
      <c r="F59" s="132">
        <v>41569</v>
      </c>
      <c r="G59" s="40">
        <v>22</v>
      </c>
      <c r="H59" s="40">
        <v>10</v>
      </c>
      <c r="I59" s="40">
        <v>2013</v>
      </c>
      <c r="J59" s="40" t="s">
        <v>1817</v>
      </c>
      <c r="K59" s="40" t="s">
        <v>2615</v>
      </c>
      <c r="L59" s="40" t="s">
        <v>2608</v>
      </c>
      <c r="M59" s="5">
        <v>132250.85999999999</v>
      </c>
      <c r="N59" s="103">
        <v>5</v>
      </c>
      <c r="O59" s="5">
        <f t="shared" si="15"/>
        <v>2204.1643333333332</v>
      </c>
      <c r="P59" s="5">
        <v>57308.272666666664</v>
      </c>
      <c r="Q59" s="455">
        <f t="shared" si="16"/>
        <v>59512.436999999998</v>
      </c>
      <c r="R59" s="15">
        <f t="shared" si="12"/>
        <v>2204.1643333333341</v>
      </c>
      <c r="S59" s="455">
        <f t="shared" si="13"/>
        <v>72738.422999999981</v>
      </c>
      <c r="T59" s="505" t="s">
        <v>2616</v>
      </c>
      <c r="U59" s="485"/>
      <c r="V59" s="44">
        <f t="shared" si="14"/>
        <v>27</v>
      </c>
    </row>
    <row r="60" spans="1:22" ht="15.75" x14ac:dyDescent="0.25">
      <c r="M60" s="115">
        <f>SUM(M52:M59)</f>
        <v>287629.71999999997</v>
      </c>
      <c r="N60" s="422"/>
      <c r="O60" s="115">
        <f>SUM(O52:O59)</f>
        <v>4793.6953333333331</v>
      </c>
      <c r="P60" s="115">
        <v>124636.07866666664</v>
      </c>
      <c r="Q60" s="115">
        <f>SUM(Q52:Q59)</f>
        <v>129429.77399999998</v>
      </c>
      <c r="R60" s="115">
        <f>SUM(R52:R59)</f>
        <v>4793.6953333333349</v>
      </c>
      <c r="S60" s="115">
        <f>SUM(S52:S59)</f>
        <v>158199.94599999994</v>
      </c>
    </row>
    <row r="61" spans="1:22" x14ac:dyDescent="0.2">
      <c r="M61" s="514"/>
      <c r="N61" s="514"/>
      <c r="O61" s="514"/>
      <c r="P61" s="514"/>
      <c r="Q61" s="514"/>
      <c r="R61" s="514"/>
      <c r="S61" s="514"/>
    </row>
    <row r="63" spans="1:22" ht="15.75" x14ac:dyDescent="0.25">
      <c r="B63" s="98" t="s">
        <v>2617</v>
      </c>
      <c r="C63" s="98" t="s">
        <v>2618</v>
      </c>
      <c r="D63" s="98" t="s">
        <v>2619</v>
      </c>
      <c r="E63" s="98" t="s">
        <v>139</v>
      </c>
      <c r="F63" s="132">
        <v>41606</v>
      </c>
      <c r="G63" s="40">
        <v>28</v>
      </c>
      <c r="H63" s="40">
        <v>11</v>
      </c>
      <c r="I63" s="40">
        <v>2013</v>
      </c>
      <c r="J63" s="40" t="s">
        <v>1817</v>
      </c>
      <c r="K63" s="40" t="s">
        <v>2620</v>
      </c>
      <c r="L63" s="40" t="s">
        <v>2608</v>
      </c>
      <c r="M63" s="5">
        <v>16541.3</v>
      </c>
      <c r="N63" s="103">
        <v>5</v>
      </c>
      <c r="O63" s="5">
        <f>(((M63)-1)/5)/12</f>
        <v>275.67166666666668</v>
      </c>
      <c r="P63" s="5">
        <v>6891.791666666667</v>
      </c>
      <c r="Q63" s="455">
        <f t="shared" ref="Q63:Q71" si="17">O63*V63</f>
        <v>7167.463333333334</v>
      </c>
      <c r="R63" s="15">
        <f t="shared" ref="R63:R71" si="18">Q63-P63</f>
        <v>275.67166666666708</v>
      </c>
      <c r="S63" s="455">
        <f t="shared" ref="S63:S71" si="19">M63-Q63</f>
        <v>9373.8366666666661</v>
      </c>
      <c r="T63" s="505">
        <v>18701</v>
      </c>
      <c r="U63" s="485"/>
      <c r="V63" s="44">
        <f t="shared" ref="V63:V71" si="20">IF((DATEDIF(F63,V$5,"m"))&gt;=60,60,(DATEDIF(F63,V$5,"m")))</f>
        <v>26</v>
      </c>
    </row>
    <row r="64" spans="1:22" ht="15.75" x14ac:dyDescent="0.25">
      <c r="B64" s="98" t="s">
        <v>2621</v>
      </c>
      <c r="C64" s="98" t="s">
        <v>2618</v>
      </c>
      <c r="D64" s="98" t="s">
        <v>2619</v>
      </c>
      <c r="E64" s="98" t="s">
        <v>139</v>
      </c>
      <c r="F64" s="132">
        <v>41606</v>
      </c>
      <c r="G64" s="40">
        <v>28</v>
      </c>
      <c r="H64" s="40">
        <v>11</v>
      </c>
      <c r="I64" s="40">
        <v>2013</v>
      </c>
      <c r="J64" s="40" t="s">
        <v>1817</v>
      </c>
      <c r="K64" s="40" t="s">
        <v>2620</v>
      </c>
      <c r="L64" s="40" t="s">
        <v>2608</v>
      </c>
      <c r="M64" s="5">
        <v>13175.42</v>
      </c>
      <c r="N64" s="103">
        <v>5</v>
      </c>
      <c r="O64" s="5">
        <f t="shared" ref="O64:O71" si="21">(((M64)-1)/5)/12</f>
        <v>219.57366666666667</v>
      </c>
      <c r="P64" s="5">
        <v>5489.3416666666672</v>
      </c>
      <c r="Q64" s="455">
        <f t="shared" si="17"/>
        <v>5708.9153333333334</v>
      </c>
      <c r="R64" s="15">
        <f t="shared" si="18"/>
        <v>219.57366666666621</v>
      </c>
      <c r="S64" s="455">
        <f t="shared" si="19"/>
        <v>7466.5046666666667</v>
      </c>
      <c r="T64" s="505">
        <v>18701</v>
      </c>
      <c r="U64" s="485"/>
      <c r="V64" s="44">
        <f t="shared" si="20"/>
        <v>26</v>
      </c>
    </row>
    <row r="65" spans="1:22" ht="15.75" x14ac:dyDescent="0.25">
      <c r="B65" s="98" t="s">
        <v>2622</v>
      </c>
      <c r="C65" s="98" t="s">
        <v>2618</v>
      </c>
      <c r="D65" s="98" t="s">
        <v>2623</v>
      </c>
      <c r="E65" s="98" t="s">
        <v>139</v>
      </c>
      <c r="F65" s="132">
        <v>41606</v>
      </c>
      <c r="G65" s="40">
        <v>28</v>
      </c>
      <c r="H65" s="40">
        <v>11</v>
      </c>
      <c r="I65" s="40">
        <v>2013</v>
      </c>
      <c r="J65" s="40" t="s">
        <v>1817</v>
      </c>
      <c r="K65" s="40" t="s">
        <v>2620</v>
      </c>
      <c r="L65" s="40" t="s">
        <v>2608</v>
      </c>
      <c r="M65" s="5">
        <v>7544.8515500000003</v>
      </c>
      <c r="N65" s="103">
        <v>5</v>
      </c>
      <c r="O65" s="5">
        <f t="shared" si="21"/>
        <v>125.73085916666668</v>
      </c>
      <c r="P65" s="5">
        <v>3143.2714791666667</v>
      </c>
      <c r="Q65" s="455">
        <f t="shared" si="17"/>
        <v>3269.0023383333337</v>
      </c>
      <c r="R65" s="15">
        <f t="shared" si="18"/>
        <v>125.73085916666696</v>
      </c>
      <c r="S65" s="455">
        <f t="shared" si="19"/>
        <v>4275.8492116666666</v>
      </c>
      <c r="T65" s="505">
        <v>18701</v>
      </c>
      <c r="U65" s="485"/>
      <c r="V65" s="44">
        <f t="shared" si="20"/>
        <v>26</v>
      </c>
    </row>
    <row r="66" spans="1:22" ht="15.75" x14ac:dyDescent="0.25">
      <c r="B66" s="98" t="s">
        <v>2622</v>
      </c>
      <c r="C66" s="98" t="s">
        <v>2618</v>
      </c>
      <c r="D66" s="98" t="s">
        <v>2623</v>
      </c>
      <c r="E66" s="98" t="s">
        <v>139</v>
      </c>
      <c r="F66" s="132">
        <v>41606</v>
      </c>
      <c r="G66" s="40">
        <v>28</v>
      </c>
      <c r="H66" s="40">
        <v>11</v>
      </c>
      <c r="I66" s="40">
        <v>2013</v>
      </c>
      <c r="J66" s="40" t="s">
        <v>1817</v>
      </c>
      <c r="K66" s="40" t="s">
        <v>2620</v>
      </c>
      <c r="L66" s="40" t="s">
        <v>2608</v>
      </c>
      <c r="M66" s="5">
        <v>7544.8515500000003</v>
      </c>
      <c r="N66" s="103">
        <v>5</v>
      </c>
      <c r="O66" s="5">
        <f t="shared" si="21"/>
        <v>125.73085916666668</v>
      </c>
      <c r="P66" s="5">
        <v>3143.2714791666667</v>
      </c>
      <c r="Q66" s="455">
        <f t="shared" si="17"/>
        <v>3269.0023383333337</v>
      </c>
      <c r="R66" s="15">
        <f t="shared" si="18"/>
        <v>125.73085916666696</v>
      </c>
      <c r="S66" s="455">
        <f t="shared" si="19"/>
        <v>4275.8492116666666</v>
      </c>
      <c r="T66" s="505">
        <v>18701</v>
      </c>
      <c r="U66" s="485"/>
      <c r="V66" s="44">
        <f t="shared" si="20"/>
        <v>26</v>
      </c>
    </row>
    <row r="67" spans="1:22" ht="15.75" x14ac:dyDescent="0.25">
      <c r="B67" s="98" t="s">
        <v>2622</v>
      </c>
      <c r="C67" s="98" t="s">
        <v>2618</v>
      </c>
      <c r="D67" s="98" t="s">
        <v>2623</v>
      </c>
      <c r="E67" s="98" t="s">
        <v>139</v>
      </c>
      <c r="F67" s="132">
        <v>41606</v>
      </c>
      <c r="G67" s="40">
        <v>28</v>
      </c>
      <c r="H67" s="40">
        <v>11</v>
      </c>
      <c r="I67" s="40">
        <v>2013</v>
      </c>
      <c r="J67" s="40" t="s">
        <v>1817</v>
      </c>
      <c r="K67" s="40" t="s">
        <v>2620</v>
      </c>
      <c r="L67" s="40" t="s">
        <v>2608</v>
      </c>
      <c r="M67" s="5">
        <v>7544.8515500000003</v>
      </c>
      <c r="N67" s="103">
        <v>5</v>
      </c>
      <c r="O67" s="5">
        <f t="shared" si="21"/>
        <v>125.73085916666668</v>
      </c>
      <c r="P67" s="5">
        <v>3143.2714791666667</v>
      </c>
      <c r="Q67" s="455">
        <f t="shared" si="17"/>
        <v>3269.0023383333337</v>
      </c>
      <c r="R67" s="15">
        <f t="shared" si="18"/>
        <v>125.73085916666696</v>
      </c>
      <c r="S67" s="455">
        <f t="shared" si="19"/>
        <v>4275.8492116666666</v>
      </c>
      <c r="T67" s="505">
        <v>18701</v>
      </c>
      <c r="U67" s="485"/>
      <c r="V67" s="44">
        <f t="shared" si="20"/>
        <v>26</v>
      </c>
    </row>
    <row r="68" spans="1:22" ht="15.75" x14ac:dyDescent="0.25">
      <c r="B68" s="98" t="s">
        <v>2622</v>
      </c>
      <c r="C68" s="98" t="s">
        <v>2618</v>
      </c>
      <c r="D68" s="98" t="s">
        <v>2623</v>
      </c>
      <c r="E68" s="98" t="s">
        <v>139</v>
      </c>
      <c r="F68" s="132">
        <v>41606</v>
      </c>
      <c r="G68" s="40">
        <v>28</v>
      </c>
      <c r="H68" s="40">
        <v>11</v>
      </c>
      <c r="I68" s="40">
        <v>2013</v>
      </c>
      <c r="J68" s="40" t="s">
        <v>1817</v>
      </c>
      <c r="K68" s="40" t="s">
        <v>2620</v>
      </c>
      <c r="L68" s="40" t="s">
        <v>2608</v>
      </c>
      <c r="M68" s="5">
        <v>7544.8515500000003</v>
      </c>
      <c r="N68" s="103">
        <v>5</v>
      </c>
      <c r="O68" s="5">
        <f t="shared" si="21"/>
        <v>125.73085916666668</v>
      </c>
      <c r="P68" s="5">
        <v>3143.2714791666667</v>
      </c>
      <c r="Q68" s="455">
        <f t="shared" si="17"/>
        <v>3269.0023383333337</v>
      </c>
      <c r="R68" s="15">
        <f t="shared" si="18"/>
        <v>125.73085916666696</v>
      </c>
      <c r="S68" s="455">
        <f t="shared" si="19"/>
        <v>4275.8492116666666</v>
      </c>
      <c r="T68" s="505">
        <v>18701</v>
      </c>
      <c r="U68" s="485"/>
      <c r="V68" s="44">
        <f t="shared" si="20"/>
        <v>26</v>
      </c>
    </row>
    <row r="69" spans="1:22" ht="15.75" x14ac:dyDescent="0.25">
      <c r="B69" s="98" t="s">
        <v>2622</v>
      </c>
      <c r="C69" s="98" t="s">
        <v>2618</v>
      </c>
      <c r="D69" s="98" t="s">
        <v>2623</v>
      </c>
      <c r="E69" s="98" t="s">
        <v>139</v>
      </c>
      <c r="F69" s="132">
        <v>41606</v>
      </c>
      <c r="G69" s="40">
        <v>28</v>
      </c>
      <c r="H69" s="40">
        <v>11</v>
      </c>
      <c r="I69" s="40">
        <v>2013</v>
      </c>
      <c r="J69" s="40" t="s">
        <v>1817</v>
      </c>
      <c r="K69" s="40" t="s">
        <v>2620</v>
      </c>
      <c r="L69" s="40" t="s">
        <v>2608</v>
      </c>
      <c r="M69" s="5">
        <v>7544.8515500000003</v>
      </c>
      <c r="N69" s="103">
        <v>5</v>
      </c>
      <c r="O69" s="5">
        <f t="shared" si="21"/>
        <v>125.73085916666668</v>
      </c>
      <c r="P69" s="5">
        <v>3143.2714791666667</v>
      </c>
      <c r="Q69" s="455">
        <f t="shared" si="17"/>
        <v>3269.0023383333337</v>
      </c>
      <c r="R69" s="15">
        <f t="shared" si="18"/>
        <v>125.73085916666696</v>
      </c>
      <c r="S69" s="455">
        <f t="shared" si="19"/>
        <v>4275.8492116666666</v>
      </c>
      <c r="T69" s="505">
        <v>18701</v>
      </c>
      <c r="U69" s="485"/>
      <c r="V69" s="44">
        <f t="shared" si="20"/>
        <v>26</v>
      </c>
    </row>
    <row r="70" spans="1:22" ht="15.75" x14ac:dyDescent="0.25">
      <c r="B70" s="98" t="s">
        <v>2622</v>
      </c>
      <c r="C70" s="98" t="s">
        <v>2618</v>
      </c>
      <c r="D70" s="98" t="s">
        <v>2623</v>
      </c>
      <c r="E70" s="98" t="s">
        <v>139</v>
      </c>
      <c r="F70" s="132">
        <v>41606</v>
      </c>
      <c r="G70" s="40">
        <v>28</v>
      </c>
      <c r="H70" s="40">
        <v>11</v>
      </c>
      <c r="I70" s="40">
        <v>2013</v>
      </c>
      <c r="J70" s="40" t="s">
        <v>1817</v>
      </c>
      <c r="K70" s="40" t="s">
        <v>2620</v>
      </c>
      <c r="L70" s="40" t="s">
        <v>2608</v>
      </c>
      <c r="M70" s="5">
        <v>7544.8515500000003</v>
      </c>
      <c r="N70" s="103">
        <v>5</v>
      </c>
      <c r="O70" s="5">
        <f t="shared" si="21"/>
        <v>125.73085916666668</v>
      </c>
      <c r="P70" s="5">
        <v>3143.2714791666667</v>
      </c>
      <c r="Q70" s="455">
        <f t="shared" si="17"/>
        <v>3269.0023383333337</v>
      </c>
      <c r="R70" s="15">
        <f t="shared" si="18"/>
        <v>125.73085916666696</v>
      </c>
      <c r="S70" s="455">
        <f t="shared" si="19"/>
        <v>4275.8492116666666</v>
      </c>
      <c r="T70" s="505">
        <v>18701</v>
      </c>
      <c r="U70" s="485"/>
      <c r="V70" s="44">
        <f t="shared" si="20"/>
        <v>26</v>
      </c>
    </row>
    <row r="71" spans="1:22" ht="15.75" x14ac:dyDescent="0.25">
      <c r="B71" s="98" t="s">
        <v>2622</v>
      </c>
      <c r="C71" s="98" t="s">
        <v>2618</v>
      </c>
      <c r="D71" s="98" t="s">
        <v>2623</v>
      </c>
      <c r="E71" s="98" t="s">
        <v>139</v>
      </c>
      <c r="F71" s="132">
        <v>41606</v>
      </c>
      <c r="G71" s="40">
        <v>28</v>
      </c>
      <c r="H71" s="40">
        <v>11</v>
      </c>
      <c r="I71" s="40">
        <v>2013</v>
      </c>
      <c r="J71" s="40" t="s">
        <v>1817</v>
      </c>
      <c r="K71" s="40" t="s">
        <v>2620</v>
      </c>
      <c r="L71" s="40" t="s">
        <v>2608</v>
      </c>
      <c r="M71" s="5">
        <v>7544.8515500000003</v>
      </c>
      <c r="N71" s="103">
        <v>5</v>
      </c>
      <c r="O71" s="5">
        <f t="shared" si="21"/>
        <v>125.73085916666668</v>
      </c>
      <c r="P71" s="5">
        <v>3143.2714791666667</v>
      </c>
      <c r="Q71" s="455">
        <f t="shared" si="17"/>
        <v>3269.0023383333337</v>
      </c>
      <c r="R71" s="15">
        <f t="shared" si="18"/>
        <v>125.73085916666696</v>
      </c>
      <c r="S71" s="455">
        <f t="shared" si="19"/>
        <v>4275.8492116666666</v>
      </c>
      <c r="T71" s="505">
        <v>18701</v>
      </c>
      <c r="U71" s="485"/>
      <c r="V71" s="44">
        <f t="shared" si="20"/>
        <v>26</v>
      </c>
    </row>
    <row r="72" spans="1:22" ht="15.75" x14ac:dyDescent="0.25">
      <c r="M72" s="115">
        <f>SUM(M63:M71)</f>
        <v>82530.680850000019</v>
      </c>
      <c r="N72" s="422"/>
      <c r="O72" s="115">
        <f>SUM(O63:O71)</f>
        <v>1375.3613475000004</v>
      </c>
      <c r="P72" s="115">
        <v>34384.033687499999</v>
      </c>
      <c r="Q72" s="115">
        <f>SUM(Q63:Q71)</f>
        <v>35759.395034999994</v>
      </c>
      <c r="R72" s="115">
        <f>SUM(R63:R71)</f>
        <v>1375.361347500002</v>
      </c>
      <c r="S72" s="115">
        <f>SUM(S63:S71)</f>
        <v>46771.285815000003</v>
      </c>
    </row>
    <row r="73" spans="1:22" ht="15.75" x14ac:dyDescent="0.25"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517"/>
    </row>
    <row r="74" spans="1:22" ht="15.75" x14ac:dyDescent="0.25">
      <c r="A74" s="105" t="s">
        <v>2624</v>
      </c>
      <c r="M74" s="115">
        <f>+M72+M60</f>
        <v>370160.40084999998</v>
      </c>
      <c r="N74" s="422"/>
      <c r="O74" s="115">
        <f>+O72+O60</f>
        <v>6169.0566808333333</v>
      </c>
      <c r="P74" s="115">
        <v>159020.11235416663</v>
      </c>
      <c r="Q74" s="115">
        <f>+Q72+Q60</f>
        <v>165189.16903499997</v>
      </c>
      <c r="R74" s="115">
        <f>+R72+R60</f>
        <v>6169.0566808333369</v>
      </c>
      <c r="S74" s="115">
        <f>+S72+S60</f>
        <v>204971.23181499995</v>
      </c>
    </row>
    <row r="76" spans="1:22" s="503" customFormat="1" ht="16.5" thickBot="1" x14ac:dyDescent="0.3">
      <c r="A76" s="22" t="s">
        <v>802</v>
      </c>
      <c r="C76" s="516"/>
      <c r="D76" s="516"/>
      <c r="M76" s="294">
        <f>+M74+M50</f>
        <v>2816131.5392499994</v>
      </c>
      <c r="N76" s="621"/>
      <c r="O76" s="294">
        <f>+O74+O50</f>
        <v>27715.142780833332</v>
      </c>
      <c r="P76" s="294">
        <v>2461422.3870541668</v>
      </c>
      <c r="Q76" s="294">
        <f>+Q74+Q50</f>
        <v>2489137.5298349997</v>
      </c>
      <c r="R76" s="294">
        <f>+R74+R50</f>
        <v>27715.14278083331</v>
      </c>
      <c r="S76" s="294">
        <f>+S74+S50</f>
        <v>326995.00941499998</v>
      </c>
    </row>
    <row r="77" spans="1:22" ht="16.5" thickTop="1" x14ac:dyDescent="0.25">
      <c r="B77" s="485"/>
      <c r="C77" s="486"/>
      <c r="D77" s="486"/>
      <c r="E77" s="40"/>
      <c r="F77" s="132"/>
      <c r="G77" s="485"/>
      <c r="H77" s="485"/>
      <c r="I77" s="485"/>
      <c r="J77" s="485"/>
      <c r="K77" s="485"/>
      <c r="L77" s="485"/>
      <c r="M77" s="501"/>
      <c r="O77" s="502"/>
      <c r="P77" s="502"/>
      <c r="Q77" s="503"/>
      <c r="R77" s="503"/>
      <c r="S77" s="504"/>
      <c r="T77" s="505"/>
      <c r="U77" s="485"/>
      <c r="V77" s="44"/>
    </row>
    <row r="78" spans="1:22" ht="15.75" x14ac:dyDescent="0.25">
      <c r="B78" s="98" t="s">
        <v>2622</v>
      </c>
      <c r="C78" s="98" t="s">
        <v>2618</v>
      </c>
      <c r="D78" s="98" t="s">
        <v>2625</v>
      </c>
      <c r="E78" s="98" t="s">
        <v>139</v>
      </c>
      <c r="F78" s="132">
        <v>41758</v>
      </c>
      <c r="G78" s="40">
        <v>29</v>
      </c>
      <c r="H78" s="40">
        <v>4</v>
      </c>
      <c r="I78" s="40">
        <v>2014</v>
      </c>
      <c r="J78" s="40" t="s">
        <v>1817</v>
      </c>
      <c r="K78" s="40" t="s">
        <v>2626</v>
      </c>
      <c r="L78" s="40" t="s">
        <v>2608</v>
      </c>
      <c r="M78" s="5">
        <v>7713.54</v>
      </c>
      <c r="N78" s="103">
        <v>5</v>
      </c>
      <c r="O78" s="5">
        <f>(((M78)-1)/5)/12</f>
        <v>128.54233333333335</v>
      </c>
      <c r="P78" s="5">
        <v>2570.8466666666668</v>
      </c>
      <c r="Q78" s="455">
        <f>O78*V78</f>
        <v>2699.3890000000001</v>
      </c>
      <c r="R78" s="15">
        <f>Q78-P78</f>
        <v>128.54233333333332</v>
      </c>
      <c r="S78" s="455">
        <f>M78-Q78</f>
        <v>5014.1509999999998</v>
      </c>
      <c r="T78" s="505">
        <v>18701</v>
      </c>
      <c r="U78" s="485"/>
      <c r="V78" s="44">
        <f>IF((DATEDIF(F78,V$5,"m"))&gt;=60,60,(DATEDIF(F78,V$5,"m")))</f>
        <v>21</v>
      </c>
    </row>
    <row r="79" spans="1:22" ht="15.75" x14ac:dyDescent="0.25">
      <c r="B79" s="98" t="s">
        <v>2622</v>
      </c>
      <c r="C79" s="98" t="s">
        <v>2618</v>
      </c>
      <c r="D79" s="98" t="s">
        <v>2625</v>
      </c>
      <c r="E79" s="98" t="s">
        <v>139</v>
      </c>
      <c r="F79" s="132">
        <v>41758</v>
      </c>
      <c r="G79" s="40">
        <v>29</v>
      </c>
      <c r="H79" s="40">
        <v>4</v>
      </c>
      <c r="I79" s="40">
        <v>2014</v>
      </c>
      <c r="J79" s="40" t="s">
        <v>1817</v>
      </c>
      <c r="K79" s="40" t="s">
        <v>2626</v>
      </c>
      <c r="L79" s="40" t="s">
        <v>2608</v>
      </c>
      <c r="M79" s="5">
        <v>7713.54</v>
      </c>
      <c r="N79" s="103">
        <v>5</v>
      </c>
      <c r="O79" s="5">
        <f>(((M79)-1)/5)/12</f>
        <v>128.54233333333335</v>
      </c>
      <c r="P79" s="5">
        <v>2570.8466666666668</v>
      </c>
      <c r="Q79" s="455">
        <f>O79*V79</f>
        <v>2699.3890000000001</v>
      </c>
      <c r="R79" s="15">
        <f>Q79-P79</f>
        <v>128.54233333333332</v>
      </c>
      <c r="S79" s="455">
        <f>M79-Q79</f>
        <v>5014.1509999999998</v>
      </c>
      <c r="T79" s="505">
        <v>18701</v>
      </c>
      <c r="U79" s="485"/>
      <c r="V79" s="44">
        <f>IF((DATEDIF(F79,V$5,"m"))&gt;=60,60,(DATEDIF(F79,V$5,"m")))</f>
        <v>21</v>
      </c>
    </row>
    <row r="80" spans="1:22" ht="15.75" x14ac:dyDescent="0.25">
      <c r="A80" s="105" t="s">
        <v>2629</v>
      </c>
      <c r="B80" s="105"/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115">
        <f>SUM(M78:M79)</f>
        <v>15427.08</v>
      </c>
      <c r="N80" s="422"/>
      <c r="O80" s="115">
        <f>SUM(O78:O79)</f>
        <v>257.08466666666669</v>
      </c>
      <c r="P80" s="115">
        <v>5141.6933333333336</v>
      </c>
      <c r="Q80" s="115">
        <f>SUM(Q78:Q79)</f>
        <v>5398.7780000000002</v>
      </c>
      <c r="R80" s="115">
        <f>SUM(R78:R79)</f>
        <v>257.08466666666664</v>
      </c>
      <c r="S80" s="115">
        <f>SUM(S78:S79)</f>
        <v>10028.302</v>
      </c>
    </row>
    <row r="81" spans="1:22" x14ac:dyDescent="0.2">
      <c r="M81" s="514"/>
      <c r="N81" s="514"/>
      <c r="O81" s="514"/>
      <c r="P81" s="514"/>
      <c r="Q81" s="514"/>
      <c r="R81" s="514"/>
      <c r="S81" s="514"/>
    </row>
    <row r="82" spans="1:22" s="503" customFormat="1" ht="16.5" thickBot="1" x14ac:dyDescent="0.3">
      <c r="A82" s="22" t="s">
        <v>816</v>
      </c>
      <c r="C82" s="516"/>
      <c r="D82" s="516"/>
      <c r="M82" s="294">
        <f>+M76+M80</f>
        <v>2831558.6192499995</v>
      </c>
      <c r="N82" s="621"/>
      <c r="O82" s="294">
        <f>+O76+O80</f>
        <v>27972.227447499998</v>
      </c>
      <c r="P82" s="294">
        <v>2466564.0803875001</v>
      </c>
      <c r="Q82" s="294">
        <f t="shared" ref="Q82:S82" si="22">+Q76+Q80</f>
        <v>2494536.3078349996</v>
      </c>
      <c r="R82" s="294">
        <f t="shared" si="22"/>
        <v>27972.227447499976</v>
      </c>
      <c r="S82" s="294">
        <f t="shared" si="22"/>
        <v>337023.311415</v>
      </c>
    </row>
    <row r="83" spans="1:22" ht="13.5" thickTop="1" x14ac:dyDescent="0.2">
      <c r="M83" s="514"/>
      <c r="N83" s="514"/>
      <c r="O83" s="514"/>
      <c r="P83" s="514"/>
      <c r="Q83" s="514"/>
      <c r="R83" s="514"/>
      <c r="S83" s="514"/>
    </row>
    <row r="84" spans="1:22" x14ac:dyDescent="0.2">
      <c r="M84" s="514"/>
      <c r="N84" s="514"/>
      <c r="O84" s="514"/>
      <c r="P84" s="514"/>
      <c r="Q84" s="514"/>
      <c r="R84" s="514"/>
      <c r="S84" s="514"/>
    </row>
    <row r="85" spans="1:22" x14ac:dyDescent="0.2">
      <c r="M85" s="514"/>
      <c r="N85" s="514"/>
      <c r="O85" s="514"/>
      <c r="P85" s="514"/>
      <c r="Q85" s="514"/>
      <c r="R85" s="514"/>
      <c r="S85" s="514"/>
    </row>
    <row r="86" spans="1:22" ht="15.75" x14ac:dyDescent="0.25">
      <c r="B86" s="98" t="s">
        <v>2861</v>
      </c>
      <c r="C86" s="98" t="s">
        <v>635</v>
      </c>
      <c r="D86" s="98" t="s">
        <v>2862</v>
      </c>
      <c r="E86" s="98" t="s">
        <v>2863</v>
      </c>
      <c r="F86" s="132">
        <v>42180</v>
      </c>
      <c r="G86" s="40">
        <v>25</v>
      </c>
      <c r="H86" s="40">
        <v>6</v>
      </c>
      <c r="I86" s="40">
        <v>2015</v>
      </c>
      <c r="J86" s="40" t="s">
        <v>1817</v>
      </c>
      <c r="K86" s="40" t="s">
        <v>2864</v>
      </c>
      <c r="L86" s="40" t="s">
        <v>2608</v>
      </c>
      <c r="M86" s="5">
        <v>1750652.22</v>
      </c>
      <c r="N86" s="103">
        <v>3</v>
      </c>
      <c r="O86" s="5">
        <f>(((M86)-1)/3)/12</f>
        <v>48629.200555555552</v>
      </c>
      <c r="P86" s="5">
        <v>291775.20333333331</v>
      </c>
      <c r="Q86" s="15">
        <f>O86*V86</f>
        <v>340404.40388888889</v>
      </c>
      <c r="R86" s="15">
        <f>Q86-P86</f>
        <v>48629.200555555581</v>
      </c>
      <c r="S86" s="455">
        <f>M86-Q86</f>
        <v>1410247.8161111111</v>
      </c>
      <c r="T86" s="505">
        <v>18701</v>
      </c>
      <c r="U86" s="485"/>
      <c r="V86" s="44">
        <f>IF((DATEDIF(F86,V$5,"m"))&gt;=36,36,(DATEDIF(F86,V$5,"m")))</f>
        <v>7</v>
      </c>
    </row>
    <row r="87" spans="1:22" ht="15.75" x14ac:dyDescent="0.25">
      <c r="A87" s="105" t="s">
        <v>2865</v>
      </c>
      <c r="B87" s="105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15">
        <f>SUM(M85:M86)</f>
        <v>1750652.22</v>
      </c>
      <c r="N87" s="422"/>
      <c r="O87" s="115">
        <f>SUM(O85:O86)</f>
        <v>48629.200555555552</v>
      </c>
      <c r="P87" s="115">
        <v>291775.20333333331</v>
      </c>
      <c r="Q87" s="115">
        <f>SUM(Q85:Q86)</f>
        <v>340404.40388888889</v>
      </c>
      <c r="R87" s="115">
        <f>SUM(R85:R86)</f>
        <v>48629.200555555581</v>
      </c>
      <c r="S87" s="115">
        <f>SUM(S85:S86)</f>
        <v>1410247.8161111111</v>
      </c>
    </row>
    <row r="88" spans="1:22" x14ac:dyDescent="0.2">
      <c r="M88" s="514"/>
      <c r="N88" s="514"/>
      <c r="O88" s="514"/>
      <c r="P88" s="514"/>
      <c r="Q88" s="514"/>
      <c r="R88" s="514"/>
      <c r="S88" s="514"/>
    </row>
    <row r="89" spans="1:22" x14ac:dyDescent="0.2">
      <c r="M89" s="514"/>
      <c r="N89" s="514"/>
      <c r="O89" s="514"/>
      <c r="P89" s="514"/>
      <c r="Q89" s="514"/>
      <c r="R89" s="514"/>
      <c r="S89" s="514"/>
    </row>
    <row r="91" spans="1:22" ht="16.5" thickBot="1" x14ac:dyDescent="0.3">
      <c r="A91" s="22" t="s">
        <v>2750</v>
      </c>
      <c r="M91" s="294">
        <f>+M82+M87</f>
        <v>4582210.8392499993</v>
      </c>
      <c r="N91" s="621"/>
      <c r="O91" s="294">
        <f>+O82+O87</f>
        <v>76601.428003055553</v>
      </c>
      <c r="P91" s="294">
        <v>2758339.2837208332</v>
      </c>
      <c r="Q91" s="294">
        <f>+Q82+Q87</f>
        <v>2834940.7117238883</v>
      </c>
      <c r="R91" s="294">
        <f>+R82+R87</f>
        <v>76601.428003055553</v>
      </c>
      <c r="S91" s="294">
        <f>+S82+S87</f>
        <v>1747271.127526111</v>
      </c>
    </row>
    <row r="92" spans="1:22" ht="13.5" thickTop="1" x14ac:dyDescent="0.2">
      <c r="M92" s="501"/>
    </row>
    <row r="93" spans="1:22" x14ac:dyDescent="0.2">
      <c r="M93" s="519"/>
    </row>
    <row r="94" spans="1:22" x14ac:dyDescent="0.2">
      <c r="M94" s="518"/>
    </row>
    <row r="99" spans="13:13" x14ac:dyDescent="0.2">
      <c r="M99" s="647"/>
    </row>
  </sheetData>
  <mergeCells count="4">
    <mergeCell ref="A1:S1"/>
    <mergeCell ref="A2:S2"/>
    <mergeCell ref="A3:S3"/>
    <mergeCell ref="O6:R6"/>
  </mergeCells>
  <printOptions horizontalCentered="1"/>
  <pageMargins left="0.78740157480314965" right="0.78740157480314965" top="0.98425196850393704" bottom="0.82677165354330717" header="0" footer="0.39370078740157483"/>
  <pageSetup paperSize="5" scale="70" orientation="landscape" r:id="rId1"/>
  <headerFooter alignWithMargins="0">
    <oddFooter>Página &amp;P&amp;R&amp;A</oddFooter>
  </headerFooter>
  <colBreaks count="1" manualBreakCount="1">
    <brk id="1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A1009"/>
  <sheetViews>
    <sheetView zoomScaleNormal="100" workbookViewId="0">
      <pane xSplit="2" ySplit="6" topLeftCell="C997" activePane="bottomRight" state="frozen"/>
      <selection sqref="A1:T2"/>
      <selection pane="topRight" sqref="A1:T2"/>
      <selection pane="bottomLeft" sqref="A1:T2"/>
      <selection pane="bottomRight" activeCell="B1008" sqref="B1008"/>
    </sheetView>
  </sheetViews>
  <sheetFormatPr baseColWidth="10" defaultRowHeight="15.75" x14ac:dyDescent="0.25"/>
  <cols>
    <col min="1" max="1" width="9.7109375" style="98" customWidth="1"/>
    <col min="2" max="2" width="58.7109375" style="98" customWidth="1"/>
    <col min="3" max="3" width="16.7109375" style="98" customWidth="1"/>
    <col min="4" max="4" width="23" style="98" customWidth="1"/>
    <col min="5" max="5" width="26.7109375" style="98" customWidth="1"/>
    <col min="6" max="6" width="34.7109375" style="98" customWidth="1"/>
    <col min="7" max="7" width="12.7109375" style="98" customWidth="1"/>
    <col min="8" max="9" width="5.7109375" style="270" customWidth="1"/>
    <col min="10" max="10" width="7.7109375" style="271" customWidth="1"/>
    <col min="11" max="11" width="7.85546875" style="98" customWidth="1"/>
    <col min="12" max="13" width="9.140625" style="98" customWidth="1"/>
    <col min="14" max="14" width="16.5703125" style="110" bestFit="1" customWidth="1"/>
    <col min="15" max="15" width="1.28515625" style="110" customWidth="1"/>
    <col min="16" max="17" width="1.28515625" style="111" customWidth="1"/>
    <col min="18" max="18" width="10.85546875" style="122" bestFit="1" customWidth="1"/>
    <col min="19" max="21" width="15.7109375" style="122" customWidth="1"/>
    <col min="22" max="22" width="13.7109375" style="122" bestFit="1" customWidth="1"/>
    <col min="23" max="23" width="12.7109375" style="111" customWidth="1"/>
    <col min="24" max="254" width="11.42578125" style="111" customWidth="1"/>
    <col min="255" max="16384" width="11.42578125" style="111"/>
  </cols>
  <sheetData>
    <row r="1" spans="1:26" s="118" customFormat="1" ht="20.25" x14ac:dyDescent="0.3">
      <c r="A1" s="677" t="s">
        <v>0</v>
      </c>
      <c r="B1" s="677"/>
      <c r="C1" s="677"/>
      <c r="D1" s="677"/>
      <c r="E1" s="677"/>
      <c r="F1" s="677"/>
      <c r="G1" s="677"/>
      <c r="H1" s="677"/>
      <c r="I1" s="677"/>
      <c r="J1" s="677"/>
      <c r="K1" s="677"/>
      <c r="L1" s="677"/>
      <c r="M1" s="677"/>
      <c r="N1" s="677"/>
      <c r="O1" s="677"/>
      <c r="P1" s="677"/>
      <c r="Q1" s="677"/>
      <c r="R1" s="677"/>
      <c r="S1" s="677"/>
      <c r="T1" s="677"/>
      <c r="U1" s="677"/>
      <c r="V1" s="677"/>
      <c r="W1" s="117"/>
    </row>
    <row r="2" spans="1:26" s="118" customFormat="1" ht="20.25" x14ac:dyDescent="0.3">
      <c r="A2" s="677" t="s">
        <v>817</v>
      </c>
      <c r="B2" s="677"/>
      <c r="C2" s="677"/>
      <c r="D2" s="677"/>
      <c r="E2" s="677"/>
      <c r="F2" s="677"/>
      <c r="G2" s="677"/>
      <c r="H2" s="677"/>
      <c r="I2" s="677"/>
      <c r="J2" s="677"/>
      <c r="K2" s="677"/>
      <c r="L2" s="677"/>
      <c r="M2" s="677"/>
      <c r="N2" s="677"/>
      <c r="O2" s="677"/>
      <c r="P2" s="677"/>
      <c r="Q2" s="677"/>
      <c r="R2" s="677"/>
      <c r="S2" s="677"/>
      <c r="T2" s="677"/>
      <c r="U2" s="677"/>
      <c r="V2" s="677"/>
      <c r="W2" s="117"/>
    </row>
    <row r="3" spans="1:26" s="118" customFormat="1" ht="20.25" x14ac:dyDescent="0.3">
      <c r="A3" s="677" t="str">
        <f>'Equipos de Producción'!A3:S3</f>
        <v>(Al 31 de Enero del 2016)</v>
      </c>
      <c r="B3" s="677"/>
      <c r="C3" s="677"/>
      <c r="D3" s="677"/>
      <c r="E3" s="677"/>
      <c r="F3" s="677"/>
      <c r="G3" s="677"/>
      <c r="H3" s="677"/>
      <c r="I3" s="677"/>
      <c r="J3" s="677"/>
      <c r="K3" s="677"/>
      <c r="L3" s="677"/>
      <c r="M3" s="677"/>
      <c r="N3" s="677"/>
      <c r="O3" s="677"/>
      <c r="P3" s="677"/>
      <c r="Q3" s="677"/>
      <c r="R3" s="677"/>
      <c r="S3" s="677"/>
      <c r="T3" s="677"/>
      <c r="U3" s="677"/>
      <c r="V3" s="677"/>
      <c r="W3" s="117"/>
    </row>
    <row r="4" spans="1:26" x14ac:dyDescent="0.25">
      <c r="A4" s="119"/>
      <c r="B4" s="119"/>
      <c r="C4" s="119"/>
      <c r="D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20"/>
      <c r="S4" s="120"/>
      <c r="T4" s="120"/>
      <c r="U4" s="120"/>
      <c r="V4" s="120"/>
      <c r="Z4" s="121">
        <f>+'Equipos de Producción'!W4</f>
        <v>42400</v>
      </c>
    </row>
    <row r="5" spans="1:26" x14ac:dyDescent="0.25">
      <c r="H5" s="678" t="s">
        <v>818</v>
      </c>
      <c r="I5" s="679"/>
      <c r="J5" s="680"/>
      <c r="N5" s="122"/>
      <c r="O5" s="122"/>
      <c r="R5" s="660" t="s">
        <v>3</v>
      </c>
      <c r="S5" s="661"/>
      <c r="T5" s="661"/>
      <c r="U5" s="662"/>
      <c r="V5" s="121"/>
      <c r="Z5" s="123"/>
    </row>
    <row r="6" spans="1:26" s="130" customFormat="1" ht="44.25" customHeight="1" x14ac:dyDescent="0.25">
      <c r="A6" s="124" t="s">
        <v>4</v>
      </c>
      <c r="B6" s="124" t="s">
        <v>7</v>
      </c>
      <c r="C6" s="124" t="s">
        <v>8</v>
      </c>
      <c r="D6" s="124" t="s">
        <v>9</v>
      </c>
      <c r="E6" s="125" t="s">
        <v>10</v>
      </c>
      <c r="F6" s="125" t="s">
        <v>11</v>
      </c>
      <c r="G6" s="124" t="s">
        <v>12</v>
      </c>
      <c r="H6" s="126" t="s">
        <v>13</v>
      </c>
      <c r="I6" s="126" t="s">
        <v>14</v>
      </c>
      <c r="J6" s="127" t="s">
        <v>15</v>
      </c>
      <c r="K6" s="124" t="s">
        <v>16</v>
      </c>
      <c r="L6" s="124" t="s">
        <v>17</v>
      </c>
      <c r="M6" s="124" t="s">
        <v>18</v>
      </c>
      <c r="N6" s="128" t="s">
        <v>19</v>
      </c>
      <c r="O6" s="128" t="s">
        <v>6</v>
      </c>
      <c r="P6" s="124" t="s">
        <v>20</v>
      </c>
      <c r="Q6" s="124" t="s">
        <v>21</v>
      </c>
      <c r="R6" s="9" t="s">
        <v>22</v>
      </c>
      <c r="S6" s="10" t="str">
        <f>+'Equipos de Producción'!$R$6</f>
        <v>Acumulada Diciembre 2015</v>
      </c>
      <c r="T6" s="10" t="str">
        <f>+'Equipos de Producción'!$S$6</f>
        <v>Acumulada Enero 2016</v>
      </c>
      <c r="U6" s="10" t="str">
        <f>+'Equipos de Producción'!$T$6</f>
        <v>Deprec. a Registrar Enero 2016</v>
      </c>
      <c r="V6" s="129" t="s">
        <v>23</v>
      </c>
      <c r="W6" s="124" t="s">
        <v>24</v>
      </c>
      <c r="Z6" s="131" t="s">
        <v>25</v>
      </c>
    </row>
    <row r="7" spans="1:26" s="245" customFormat="1" x14ac:dyDescent="0.25">
      <c r="A7" s="97" t="s">
        <v>819</v>
      </c>
      <c r="B7" s="97" t="s">
        <v>820</v>
      </c>
      <c r="C7" s="97"/>
      <c r="D7" s="97"/>
      <c r="E7" s="97"/>
      <c r="F7" s="97" t="s">
        <v>821</v>
      </c>
      <c r="G7" s="132" t="str">
        <f t="shared" ref="G7:G27" si="0">CONCATENATE(H7,"/",I7,"/",J7,)</f>
        <v>6/11/2003</v>
      </c>
      <c r="H7" s="133">
        <v>6</v>
      </c>
      <c r="I7" s="133">
        <v>11</v>
      </c>
      <c r="J7" s="134">
        <v>2003</v>
      </c>
      <c r="K7" s="97" t="s">
        <v>56</v>
      </c>
      <c r="L7" s="97">
        <v>6502</v>
      </c>
      <c r="M7" s="97" t="s">
        <v>796</v>
      </c>
      <c r="N7" s="311">
        <v>3905</v>
      </c>
      <c r="O7" s="311" t="s">
        <v>822</v>
      </c>
      <c r="Q7" s="245">
        <v>10</v>
      </c>
      <c r="R7" s="5">
        <v>0</v>
      </c>
      <c r="S7" s="5">
        <v>3904</v>
      </c>
      <c r="T7" s="15">
        <v>3904</v>
      </c>
      <c r="U7" s="15">
        <f>T7-S7</f>
        <v>0</v>
      </c>
      <c r="V7" s="15">
        <f t="shared" ref="V7:V38" si="1">N7-T7</f>
        <v>1</v>
      </c>
      <c r="W7" s="245">
        <v>1559</v>
      </c>
      <c r="X7" s="312"/>
      <c r="Y7" s="313"/>
      <c r="Z7" s="137">
        <f t="shared" ref="Z7:Z70" si="2">IF((DATEDIF(G7,Z$4,"m"))&gt;=120,120,(DATEDIF(G7,Z$4,"m")))</f>
        <v>120</v>
      </c>
    </row>
    <row r="8" spans="1:26" s="245" customFormat="1" x14ac:dyDescent="0.25">
      <c r="A8" s="97" t="s">
        <v>819</v>
      </c>
      <c r="B8" s="97" t="s">
        <v>820</v>
      </c>
      <c r="C8" s="97"/>
      <c r="D8" s="97"/>
      <c r="E8" s="97"/>
      <c r="F8" s="97" t="s">
        <v>821</v>
      </c>
      <c r="G8" s="132" t="str">
        <f t="shared" si="0"/>
        <v>6/11/2003</v>
      </c>
      <c r="H8" s="133">
        <v>6</v>
      </c>
      <c r="I8" s="133">
        <v>11</v>
      </c>
      <c r="J8" s="134">
        <v>2003</v>
      </c>
      <c r="K8" s="97" t="s">
        <v>56</v>
      </c>
      <c r="L8" s="97">
        <v>6502</v>
      </c>
      <c r="M8" s="97" t="s">
        <v>796</v>
      </c>
      <c r="N8" s="311">
        <v>3905</v>
      </c>
      <c r="O8" s="311" t="s">
        <v>822</v>
      </c>
      <c r="Q8" s="245">
        <v>10</v>
      </c>
      <c r="R8" s="5">
        <v>0</v>
      </c>
      <c r="S8" s="5">
        <v>3904</v>
      </c>
      <c r="T8" s="313">
        <v>3904</v>
      </c>
      <c r="U8" s="15">
        <f>T8-S8</f>
        <v>0</v>
      </c>
      <c r="V8" s="313">
        <f t="shared" si="1"/>
        <v>1</v>
      </c>
      <c r="W8" s="245">
        <v>1559</v>
      </c>
      <c r="X8" s="312"/>
      <c r="Y8" s="313"/>
      <c r="Z8" s="137">
        <f t="shared" si="2"/>
        <v>120</v>
      </c>
    </row>
    <row r="9" spans="1:26" s="245" customFormat="1" x14ac:dyDescent="0.25">
      <c r="A9" s="97" t="s">
        <v>823</v>
      </c>
      <c r="B9" s="97" t="s">
        <v>824</v>
      </c>
      <c r="C9" s="97" t="s">
        <v>459</v>
      </c>
      <c r="D9" s="97" t="s">
        <v>825</v>
      </c>
      <c r="E9" s="97" t="s">
        <v>826</v>
      </c>
      <c r="F9" s="97" t="s">
        <v>821</v>
      </c>
      <c r="G9" s="132" t="str">
        <f t="shared" si="0"/>
        <v>16/5/2003</v>
      </c>
      <c r="H9" s="133">
        <v>16</v>
      </c>
      <c r="I9" s="133">
        <v>5</v>
      </c>
      <c r="J9" s="134">
        <v>2003</v>
      </c>
      <c r="K9" s="97" t="s">
        <v>56</v>
      </c>
      <c r="L9" s="97">
        <v>6412</v>
      </c>
      <c r="M9" s="97" t="s">
        <v>796</v>
      </c>
      <c r="N9" s="311">
        <v>1700</v>
      </c>
      <c r="O9" s="311"/>
      <c r="Q9" s="245">
        <v>10</v>
      </c>
      <c r="R9" s="5">
        <v>0</v>
      </c>
      <c r="S9" s="5">
        <v>1699</v>
      </c>
      <c r="T9" s="313">
        <v>1699</v>
      </c>
      <c r="U9" s="15">
        <f t="shared" ref="U9:U71" si="3">T9-S9</f>
        <v>0</v>
      </c>
      <c r="V9" s="313">
        <f t="shared" si="1"/>
        <v>1</v>
      </c>
      <c r="W9" s="245">
        <v>1439</v>
      </c>
      <c r="X9" s="312"/>
      <c r="Y9" s="313"/>
      <c r="Z9" s="114">
        <f t="shared" si="2"/>
        <v>120</v>
      </c>
    </row>
    <row r="10" spans="1:26" s="245" customFormat="1" x14ac:dyDescent="0.25">
      <c r="A10" s="97" t="s">
        <v>827</v>
      </c>
      <c r="B10" s="97" t="s">
        <v>828</v>
      </c>
      <c r="C10" s="97" t="s">
        <v>829</v>
      </c>
      <c r="D10" s="97" t="s">
        <v>830</v>
      </c>
      <c r="E10" s="138" t="s">
        <v>831</v>
      </c>
      <c r="F10" s="97" t="s">
        <v>832</v>
      </c>
      <c r="G10" s="132" t="str">
        <f t="shared" si="0"/>
        <v>2/2/2004</v>
      </c>
      <c r="H10" s="133">
        <v>2</v>
      </c>
      <c r="I10" s="133">
        <v>2</v>
      </c>
      <c r="J10" s="134">
        <v>2004</v>
      </c>
      <c r="K10" s="97" t="s">
        <v>56</v>
      </c>
      <c r="L10" s="97">
        <v>299</v>
      </c>
      <c r="M10" s="97" t="s">
        <v>796</v>
      </c>
      <c r="N10" s="311">
        <v>8400</v>
      </c>
      <c r="O10" s="311" t="s">
        <v>833</v>
      </c>
      <c r="Q10" s="245">
        <v>10</v>
      </c>
      <c r="R10" s="5">
        <v>0</v>
      </c>
      <c r="S10" s="5">
        <v>8399</v>
      </c>
      <c r="T10" s="313">
        <v>8399</v>
      </c>
      <c r="U10" s="15">
        <f t="shared" si="3"/>
        <v>0</v>
      </c>
      <c r="V10" s="313">
        <f>N10-T10</f>
        <v>1</v>
      </c>
      <c r="W10" s="245">
        <v>3181</v>
      </c>
      <c r="X10" s="312"/>
      <c r="Y10" s="313"/>
      <c r="Z10" s="114">
        <f t="shared" si="2"/>
        <v>120</v>
      </c>
    </row>
    <row r="11" spans="1:26" s="245" customFormat="1" x14ac:dyDescent="0.25">
      <c r="A11" s="97" t="s">
        <v>834</v>
      </c>
      <c r="B11" s="97" t="s">
        <v>820</v>
      </c>
      <c r="C11" s="97"/>
      <c r="D11" s="97"/>
      <c r="E11" s="97"/>
      <c r="F11" s="97" t="s">
        <v>821</v>
      </c>
      <c r="G11" s="132" t="str">
        <f t="shared" si="0"/>
        <v>6/11/2003</v>
      </c>
      <c r="H11" s="133">
        <v>6</v>
      </c>
      <c r="I11" s="133">
        <v>11</v>
      </c>
      <c r="J11" s="134">
        <v>2003</v>
      </c>
      <c r="K11" s="97" t="s">
        <v>56</v>
      </c>
      <c r="L11" s="97">
        <v>6502</v>
      </c>
      <c r="M11" s="97" t="s">
        <v>796</v>
      </c>
      <c r="N11" s="311">
        <v>3905</v>
      </c>
      <c r="O11" s="311" t="s">
        <v>822</v>
      </c>
      <c r="Q11" s="245">
        <v>10</v>
      </c>
      <c r="R11" s="5">
        <v>0</v>
      </c>
      <c r="S11" s="5">
        <v>3904</v>
      </c>
      <c r="T11" s="313">
        <v>3904</v>
      </c>
      <c r="U11" s="15">
        <f t="shared" si="3"/>
        <v>0</v>
      </c>
      <c r="V11" s="313">
        <f t="shared" si="1"/>
        <v>1</v>
      </c>
      <c r="W11" s="245">
        <v>1559</v>
      </c>
      <c r="X11" s="312"/>
      <c r="Y11" s="313"/>
      <c r="Z11" s="137">
        <f t="shared" si="2"/>
        <v>120</v>
      </c>
    </row>
    <row r="12" spans="1:26" s="334" customFormat="1" x14ac:dyDescent="0.25">
      <c r="A12" s="172" t="s">
        <v>835</v>
      </c>
      <c r="B12" s="172" t="s">
        <v>836</v>
      </c>
      <c r="C12" s="172"/>
      <c r="D12" s="172" t="s">
        <v>837</v>
      </c>
      <c r="E12" s="172"/>
      <c r="F12" s="172" t="s">
        <v>838</v>
      </c>
      <c r="G12" s="173" t="str">
        <f t="shared" si="0"/>
        <v>3/11/2003</v>
      </c>
      <c r="H12" s="174">
        <v>3</v>
      </c>
      <c r="I12" s="174">
        <v>11</v>
      </c>
      <c r="J12" s="175">
        <v>2003</v>
      </c>
      <c r="K12" s="172" t="s">
        <v>56</v>
      </c>
      <c r="L12" s="172">
        <v>27730</v>
      </c>
      <c r="M12" s="97" t="s">
        <v>796</v>
      </c>
      <c r="N12" s="333">
        <v>2391.42</v>
      </c>
      <c r="O12" s="311"/>
      <c r="P12" s="245"/>
      <c r="Q12" s="334">
        <v>10</v>
      </c>
      <c r="R12" s="570">
        <v>0</v>
      </c>
      <c r="S12" s="570">
        <v>2390.42</v>
      </c>
      <c r="T12" s="335">
        <v>2390.42</v>
      </c>
      <c r="U12" s="572">
        <f t="shared" si="3"/>
        <v>0</v>
      </c>
      <c r="V12" s="335">
        <f t="shared" si="1"/>
        <v>1</v>
      </c>
      <c r="W12" s="334">
        <v>1070</v>
      </c>
      <c r="X12" s="336"/>
      <c r="Y12" s="335"/>
      <c r="Z12" s="640">
        <f t="shared" si="2"/>
        <v>120</v>
      </c>
    </row>
    <row r="13" spans="1:26" s="334" customFormat="1" x14ac:dyDescent="0.25">
      <c r="A13" s="172" t="s">
        <v>839</v>
      </c>
      <c r="B13" s="172" t="s">
        <v>840</v>
      </c>
      <c r="C13" s="172"/>
      <c r="D13" s="172" t="s">
        <v>837</v>
      </c>
      <c r="E13" s="172"/>
      <c r="F13" s="172" t="s">
        <v>838</v>
      </c>
      <c r="G13" s="173" t="str">
        <f t="shared" si="0"/>
        <v>24/4/2003</v>
      </c>
      <c r="H13" s="174">
        <v>24</v>
      </c>
      <c r="I13" s="174">
        <v>4</v>
      </c>
      <c r="J13" s="175">
        <v>2003</v>
      </c>
      <c r="K13" s="172" t="s">
        <v>56</v>
      </c>
      <c r="L13" s="172">
        <v>28496</v>
      </c>
      <c r="M13" s="139" t="s">
        <v>796</v>
      </c>
      <c r="N13" s="333">
        <v>2512</v>
      </c>
      <c r="O13" s="314"/>
      <c r="P13" s="315"/>
      <c r="Q13" s="334">
        <v>10</v>
      </c>
      <c r="R13" s="570">
        <v>0</v>
      </c>
      <c r="S13" s="570">
        <v>2511</v>
      </c>
      <c r="T13" s="335">
        <v>2511</v>
      </c>
      <c r="U13" s="572">
        <f t="shared" si="3"/>
        <v>0</v>
      </c>
      <c r="V13" s="335">
        <f t="shared" si="1"/>
        <v>1</v>
      </c>
      <c r="W13" s="334">
        <v>1259</v>
      </c>
      <c r="X13" s="336"/>
      <c r="Y13" s="335"/>
      <c r="Z13" s="180">
        <f t="shared" si="2"/>
        <v>120</v>
      </c>
    </row>
    <row r="14" spans="1:26" s="245" customFormat="1" x14ac:dyDescent="0.25">
      <c r="A14" s="97" t="s">
        <v>841</v>
      </c>
      <c r="B14" s="97" t="s">
        <v>842</v>
      </c>
      <c r="C14" s="97"/>
      <c r="D14" s="97" t="s">
        <v>843</v>
      </c>
      <c r="E14" s="97"/>
      <c r="F14" s="97" t="s">
        <v>838</v>
      </c>
      <c r="G14" s="132" t="str">
        <f t="shared" si="0"/>
        <v>21/3/2003</v>
      </c>
      <c r="H14" s="133">
        <v>21</v>
      </c>
      <c r="I14" s="133">
        <v>3</v>
      </c>
      <c r="J14" s="134">
        <v>2003</v>
      </c>
      <c r="K14" s="97" t="s">
        <v>56</v>
      </c>
      <c r="L14" s="97">
        <v>27926</v>
      </c>
      <c r="M14" s="97" t="s">
        <v>796</v>
      </c>
      <c r="N14" s="311">
        <v>3528</v>
      </c>
      <c r="O14" s="311"/>
      <c r="Q14" s="245">
        <v>10</v>
      </c>
      <c r="R14" s="5">
        <v>0</v>
      </c>
      <c r="S14" s="5">
        <v>3527</v>
      </c>
      <c r="T14" s="313">
        <v>3527</v>
      </c>
      <c r="U14" s="15">
        <f t="shared" si="3"/>
        <v>0</v>
      </c>
      <c r="V14" s="313">
        <f t="shared" si="1"/>
        <v>1</v>
      </c>
      <c r="W14" s="245">
        <v>1137</v>
      </c>
      <c r="X14" s="312"/>
      <c r="Y14" s="313"/>
      <c r="Z14" s="114">
        <f t="shared" si="2"/>
        <v>120</v>
      </c>
    </row>
    <row r="15" spans="1:26" s="334" customFormat="1" x14ac:dyDescent="0.25">
      <c r="A15" s="172" t="s">
        <v>844</v>
      </c>
      <c r="B15" s="172" t="s">
        <v>845</v>
      </c>
      <c r="C15" s="172"/>
      <c r="D15" s="172" t="s">
        <v>846</v>
      </c>
      <c r="E15" s="172"/>
      <c r="F15" s="172" t="s">
        <v>847</v>
      </c>
      <c r="G15" s="173" t="str">
        <f t="shared" si="0"/>
        <v>18/2/2004</v>
      </c>
      <c r="H15" s="174">
        <v>18</v>
      </c>
      <c r="I15" s="174">
        <v>2</v>
      </c>
      <c r="J15" s="175">
        <v>2004</v>
      </c>
      <c r="K15" s="172" t="s">
        <v>56</v>
      </c>
      <c r="L15" s="172">
        <v>5509</v>
      </c>
      <c r="M15" s="97" t="s">
        <v>796</v>
      </c>
      <c r="N15" s="333">
        <v>4920</v>
      </c>
      <c r="O15" s="311"/>
      <c r="P15" s="245"/>
      <c r="Q15" s="334">
        <v>10</v>
      </c>
      <c r="R15" s="570">
        <v>0</v>
      </c>
      <c r="S15" s="570">
        <v>4919</v>
      </c>
      <c r="T15" s="335">
        <v>4919</v>
      </c>
      <c r="U15" s="572">
        <f t="shared" si="3"/>
        <v>0</v>
      </c>
      <c r="V15" s="335">
        <f t="shared" si="1"/>
        <v>1</v>
      </c>
      <c r="W15" s="334">
        <v>3408</v>
      </c>
      <c r="X15" s="336"/>
      <c r="Y15" s="335"/>
      <c r="Z15" s="640">
        <f t="shared" si="2"/>
        <v>120</v>
      </c>
    </row>
    <row r="16" spans="1:26" s="245" customFormat="1" x14ac:dyDescent="0.25">
      <c r="A16" s="97" t="s">
        <v>848</v>
      </c>
      <c r="B16" s="97" t="s">
        <v>824</v>
      </c>
      <c r="C16" s="97" t="s">
        <v>459</v>
      </c>
      <c r="D16" s="97" t="s">
        <v>849</v>
      </c>
      <c r="E16" s="97" t="s">
        <v>850</v>
      </c>
      <c r="F16" s="97" t="s">
        <v>821</v>
      </c>
      <c r="G16" s="132" t="str">
        <f t="shared" si="0"/>
        <v>16/5/2003</v>
      </c>
      <c r="H16" s="133">
        <v>16</v>
      </c>
      <c r="I16" s="133">
        <v>5</v>
      </c>
      <c r="J16" s="134">
        <v>2003</v>
      </c>
      <c r="K16" s="97" t="s">
        <v>56</v>
      </c>
      <c r="L16" s="97">
        <v>8169</v>
      </c>
      <c r="M16" s="97" t="s">
        <v>796</v>
      </c>
      <c r="N16" s="311">
        <v>2825</v>
      </c>
      <c r="O16" s="311" t="s">
        <v>833</v>
      </c>
      <c r="Q16" s="245">
        <v>10</v>
      </c>
      <c r="R16" s="5">
        <v>0</v>
      </c>
      <c r="S16" s="5">
        <v>2824</v>
      </c>
      <c r="T16" s="313">
        <v>2824</v>
      </c>
      <c r="U16" s="15">
        <f t="shared" si="3"/>
        <v>0</v>
      </c>
      <c r="V16" s="313">
        <f t="shared" si="1"/>
        <v>1</v>
      </c>
      <c r="W16" s="245">
        <v>5817</v>
      </c>
      <c r="X16" s="312"/>
      <c r="Y16" s="313"/>
      <c r="Z16" s="114">
        <f t="shared" si="2"/>
        <v>120</v>
      </c>
    </row>
    <row r="17" spans="1:26" s="245" customFormat="1" x14ac:dyDescent="0.25">
      <c r="A17" s="97" t="s">
        <v>851</v>
      </c>
      <c r="B17" s="97" t="s">
        <v>852</v>
      </c>
      <c r="C17" s="97"/>
      <c r="D17" s="97" t="s">
        <v>853</v>
      </c>
      <c r="E17" s="97"/>
      <c r="F17" s="97" t="s">
        <v>847</v>
      </c>
      <c r="G17" s="132" t="str">
        <f t="shared" si="0"/>
        <v>24/4/2003</v>
      </c>
      <c r="H17" s="133">
        <v>24</v>
      </c>
      <c r="I17" s="133">
        <v>4</v>
      </c>
      <c r="J17" s="134">
        <v>2003</v>
      </c>
      <c r="K17" s="97" t="s">
        <v>56</v>
      </c>
      <c r="L17" s="97">
        <v>5190</v>
      </c>
      <c r="M17" s="97" t="s">
        <v>796</v>
      </c>
      <c r="N17" s="311">
        <v>2912</v>
      </c>
      <c r="O17" s="311"/>
      <c r="Q17" s="245">
        <v>10</v>
      </c>
      <c r="R17" s="5">
        <v>0</v>
      </c>
      <c r="S17" s="5">
        <v>2911.0000000000005</v>
      </c>
      <c r="T17" s="313">
        <v>2911.0000000000005</v>
      </c>
      <c r="U17" s="15">
        <f t="shared" si="3"/>
        <v>0</v>
      </c>
      <c r="V17" s="313">
        <f t="shared" si="1"/>
        <v>0.99999999999954525</v>
      </c>
      <c r="W17" s="245">
        <v>1258</v>
      </c>
      <c r="X17" s="312"/>
      <c r="Y17" s="313"/>
      <c r="Z17" s="114">
        <f t="shared" si="2"/>
        <v>120</v>
      </c>
    </row>
    <row r="18" spans="1:26" s="334" customFormat="1" x14ac:dyDescent="0.25">
      <c r="A18" s="172" t="s">
        <v>854</v>
      </c>
      <c r="B18" s="172" t="s">
        <v>855</v>
      </c>
      <c r="C18" s="172"/>
      <c r="D18" s="172" t="s">
        <v>856</v>
      </c>
      <c r="E18" s="172"/>
      <c r="F18" s="172"/>
      <c r="G18" s="173" t="str">
        <f t="shared" si="0"/>
        <v>24/4/2003</v>
      </c>
      <c r="H18" s="174">
        <v>24</v>
      </c>
      <c r="I18" s="174">
        <v>4</v>
      </c>
      <c r="J18" s="175">
        <v>2003</v>
      </c>
      <c r="K18" s="172"/>
      <c r="L18" s="172"/>
      <c r="M18" s="97" t="s">
        <v>796</v>
      </c>
      <c r="N18" s="333">
        <v>1</v>
      </c>
      <c r="O18" s="311"/>
      <c r="P18" s="245"/>
      <c r="Q18" s="334">
        <v>10</v>
      </c>
      <c r="R18" s="570">
        <v>0</v>
      </c>
      <c r="S18" s="570">
        <v>0</v>
      </c>
      <c r="T18" s="335">
        <v>0</v>
      </c>
      <c r="U18" s="572">
        <f t="shared" si="3"/>
        <v>0</v>
      </c>
      <c r="V18" s="335">
        <f t="shared" si="1"/>
        <v>1</v>
      </c>
      <c r="X18" s="336"/>
      <c r="Y18" s="335"/>
      <c r="Z18" s="640">
        <f t="shared" si="2"/>
        <v>120</v>
      </c>
    </row>
    <row r="19" spans="1:26" s="334" customFormat="1" x14ac:dyDescent="0.25">
      <c r="A19" s="172" t="s">
        <v>857</v>
      </c>
      <c r="B19" s="172" t="s">
        <v>858</v>
      </c>
      <c r="C19" s="172"/>
      <c r="D19" s="172"/>
      <c r="E19" s="172"/>
      <c r="F19" s="172" t="s">
        <v>859</v>
      </c>
      <c r="G19" s="173" t="str">
        <f t="shared" si="0"/>
        <v>16/6/2004</v>
      </c>
      <c r="H19" s="174">
        <v>16</v>
      </c>
      <c r="I19" s="174">
        <v>6</v>
      </c>
      <c r="J19" s="175">
        <v>2004</v>
      </c>
      <c r="K19" s="172" t="s">
        <v>56</v>
      </c>
      <c r="L19" s="172">
        <v>685</v>
      </c>
      <c r="M19" s="97" t="s">
        <v>796</v>
      </c>
      <c r="N19" s="333">
        <v>4648</v>
      </c>
      <c r="O19" s="311"/>
      <c r="P19" s="245"/>
      <c r="Q19" s="334">
        <v>10</v>
      </c>
      <c r="R19" s="570">
        <v>0</v>
      </c>
      <c r="S19" s="570">
        <v>4647</v>
      </c>
      <c r="T19" s="335">
        <v>4647</v>
      </c>
      <c r="U19" s="572">
        <f t="shared" si="3"/>
        <v>0</v>
      </c>
      <c r="V19" s="335">
        <f t="shared" si="1"/>
        <v>1</v>
      </c>
      <c r="W19" s="334">
        <v>4093</v>
      </c>
      <c r="X19" s="336"/>
      <c r="Y19" s="335"/>
      <c r="Z19" s="640">
        <f t="shared" si="2"/>
        <v>120</v>
      </c>
    </row>
    <row r="20" spans="1:26" s="245" customFormat="1" x14ac:dyDescent="0.25">
      <c r="A20" s="97" t="s">
        <v>860</v>
      </c>
      <c r="B20" s="97" t="s">
        <v>824</v>
      </c>
      <c r="C20" s="97" t="s">
        <v>459</v>
      </c>
      <c r="D20" s="97" t="s">
        <v>861</v>
      </c>
      <c r="E20" s="97" t="s">
        <v>862</v>
      </c>
      <c r="F20" s="97" t="s">
        <v>821</v>
      </c>
      <c r="G20" s="132" t="str">
        <f t="shared" si="0"/>
        <v>16/5/2003</v>
      </c>
      <c r="H20" s="133">
        <v>16</v>
      </c>
      <c r="I20" s="133">
        <v>5</v>
      </c>
      <c r="J20" s="134">
        <v>2003</v>
      </c>
      <c r="K20" s="97" t="s">
        <v>56</v>
      </c>
      <c r="L20" s="97">
        <v>6412</v>
      </c>
      <c r="M20" s="97" t="s">
        <v>796</v>
      </c>
      <c r="N20" s="311">
        <v>1700</v>
      </c>
      <c r="O20" s="311"/>
      <c r="Q20" s="245">
        <v>10</v>
      </c>
      <c r="R20" s="5">
        <v>0</v>
      </c>
      <c r="S20" s="5">
        <v>1699</v>
      </c>
      <c r="T20" s="313">
        <v>1699</v>
      </c>
      <c r="U20" s="15">
        <f t="shared" si="3"/>
        <v>0</v>
      </c>
      <c r="V20" s="313">
        <f t="shared" si="1"/>
        <v>1</v>
      </c>
      <c r="W20" s="245">
        <v>1439</v>
      </c>
      <c r="X20" s="312"/>
      <c r="Y20" s="313"/>
      <c r="Z20" s="114">
        <f t="shared" si="2"/>
        <v>120</v>
      </c>
    </row>
    <row r="21" spans="1:26" s="245" customFormat="1" x14ac:dyDescent="0.25">
      <c r="A21" s="97" t="s">
        <v>863</v>
      </c>
      <c r="B21" s="97" t="s">
        <v>864</v>
      </c>
      <c r="C21" s="97"/>
      <c r="D21" s="97"/>
      <c r="E21" s="97"/>
      <c r="F21" s="97" t="s">
        <v>865</v>
      </c>
      <c r="G21" s="132" t="str">
        <f t="shared" si="0"/>
        <v>13/1/2004</v>
      </c>
      <c r="H21" s="133">
        <v>13</v>
      </c>
      <c r="I21" s="133">
        <v>1</v>
      </c>
      <c r="J21" s="134">
        <v>2004</v>
      </c>
      <c r="K21" s="97" t="s">
        <v>56</v>
      </c>
      <c r="L21" s="97">
        <v>32314</v>
      </c>
      <c r="M21" s="97" t="s">
        <v>796</v>
      </c>
      <c r="N21" s="316">
        <v>3866.29</v>
      </c>
      <c r="O21" s="316" t="s">
        <v>866</v>
      </c>
      <c r="Q21" s="245">
        <v>10</v>
      </c>
      <c r="R21" s="5">
        <v>0</v>
      </c>
      <c r="S21" s="5">
        <v>3865.2899999999995</v>
      </c>
      <c r="T21" s="313">
        <v>3865.2899999999995</v>
      </c>
      <c r="U21" s="15">
        <f t="shared" si="3"/>
        <v>0</v>
      </c>
      <c r="V21" s="313">
        <f t="shared" si="1"/>
        <v>1.0000000000004547</v>
      </c>
      <c r="W21" s="245">
        <v>2885</v>
      </c>
      <c r="X21" s="312"/>
      <c r="Y21" s="313"/>
      <c r="Z21" s="114">
        <f t="shared" si="2"/>
        <v>120</v>
      </c>
    </row>
    <row r="22" spans="1:26" s="334" customFormat="1" x14ac:dyDescent="0.25">
      <c r="A22" s="172" t="s">
        <v>867</v>
      </c>
      <c r="B22" s="172" t="s">
        <v>868</v>
      </c>
      <c r="C22" s="172"/>
      <c r="D22" s="172" t="s">
        <v>846</v>
      </c>
      <c r="E22" s="172"/>
      <c r="F22" s="172" t="s">
        <v>847</v>
      </c>
      <c r="G22" s="173" t="str">
        <f t="shared" si="0"/>
        <v>3/10/2005</v>
      </c>
      <c r="H22" s="174">
        <v>3</v>
      </c>
      <c r="I22" s="174">
        <v>10</v>
      </c>
      <c r="J22" s="175">
        <v>2005</v>
      </c>
      <c r="K22" s="172" t="s">
        <v>56</v>
      </c>
      <c r="L22" s="172">
        <v>5961</v>
      </c>
      <c r="M22" s="97" t="s">
        <v>796</v>
      </c>
      <c r="N22" s="333">
        <v>2134.4</v>
      </c>
      <c r="O22" s="311"/>
      <c r="P22" s="245"/>
      <c r="Q22" s="334">
        <v>10</v>
      </c>
      <c r="R22" s="178">
        <v>0</v>
      </c>
      <c r="S22" s="570">
        <v>2133.4</v>
      </c>
      <c r="T22" s="570">
        <v>2133.4</v>
      </c>
      <c r="U22" s="572">
        <f t="shared" si="3"/>
        <v>0</v>
      </c>
      <c r="V22" s="335">
        <f t="shared" si="1"/>
        <v>1</v>
      </c>
      <c r="W22" s="334">
        <v>6098</v>
      </c>
      <c r="X22" s="336"/>
      <c r="Y22" s="335"/>
      <c r="Z22" s="640">
        <f t="shared" si="2"/>
        <v>120</v>
      </c>
    </row>
    <row r="23" spans="1:26" s="245" customFormat="1" x14ac:dyDescent="0.25">
      <c r="A23" s="97" t="s">
        <v>869</v>
      </c>
      <c r="B23" s="97" t="s">
        <v>824</v>
      </c>
      <c r="C23" s="97" t="s">
        <v>459</v>
      </c>
      <c r="D23" s="97" t="s">
        <v>849</v>
      </c>
      <c r="E23" s="97" t="s">
        <v>870</v>
      </c>
      <c r="F23" s="97" t="s">
        <v>821</v>
      </c>
      <c r="G23" s="132" t="str">
        <f t="shared" si="0"/>
        <v>16/5/2006</v>
      </c>
      <c r="H23" s="133">
        <v>16</v>
      </c>
      <c r="I23" s="133">
        <v>5</v>
      </c>
      <c r="J23" s="134">
        <v>2006</v>
      </c>
      <c r="K23" s="97" t="s">
        <v>56</v>
      </c>
      <c r="L23" s="97">
        <v>8169</v>
      </c>
      <c r="M23" s="97" t="s">
        <v>796</v>
      </c>
      <c r="N23" s="311">
        <v>2825</v>
      </c>
      <c r="O23" s="311"/>
      <c r="Q23" s="245">
        <v>10</v>
      </c>
      <c r="R23" s="30">
        <f t="shared" ref="R22:R69" si="4">(((N23)-1)/10)/12</f>
        <v>23.533333333333331</v>
      </c>
      <c r="S23" s="5">
        <v>2706.333333333333</v>
      </c>
      <c r="T23" s="313">
        <f t="shared" ref="T22:T23" si="5">Z23*R23</f>
        <v>2729.8666666666663</v>
      </c>
      <c r="U23" s="15">
        <f t="shared" si="3"/>
        <v>23.533333333333303</v>
      </c>
      <c r="V23" s="313">
        <f t="shared" si="1"/>
        <v>95.133333333333667</v>
      </c>
      <c r="W23" s="245">
        <v>5817</v>
      </c>
      <c r="X23" s="312"/>
      <c r="Y23" s="313"/>
      <c r="Z23" s="114">
        <f t="shared" si="2"/>
        <v>116</v>
      </c>
    </row>
    <row r="24" spans="1:26" s="334" customFormat="1" x14ac:dyDescent="0.25">
      <c r="A24" s="172" t="s">
        <v>871</v>
      </c>
      <c r="B24" s="172" t="s">
        <v>872</v>
      </c>
      <c r="C24" s="172"/>
      <c r="D24" s="172" t="s">
        <v>873</v>
      </c>
      <c r="E24" s="172"/>
      <c r="F24" s="172" t="s">
        <v>847</v>
      </c>
      <c r="G24" s="173" t="str">
        <f t="shared" si="0"/>
        <v>3/10/2005</v>
      </c>
      <c r="H24" s="174">
        <v>3</v>
      </c>
      <c r="I24" s="174">
        <v>10</v>
      </c>
      <c r="J24" s="175">
        <v>2005</v>
      </c>
      <c r="K24" s="172" t="s">
        <v>56</v>
      </c>
      <c r="L24" s="172">
        <v>5961</v>
      </c>
      <c r="M24" s="97" t="s">
        <v>796</v>
      </c>
      <c r="N24" s="333">
        <v>4083.2</v>
      </c>
      <c r="O24" s="311"/>
      <c r="P24" s="245"/>
      <c r="Q24" s="334">
        <v>10</v>
      </c>
      <c r="R24" s="178">
        <v>0</v>
      </c>
      <c r="S24" s="570">
        <v>4082.2</v>
      </c>
      <c r="T24" s="570">
        <v>4082.2</v>
      </c>
      <c r="U24" s="572">
        <f t="shared" si="3"/>
        <v>0</v>
      </c>
      <c r="V24" s="335">
        <f t="shared" si="1"/>
        <v>1</v>
      </c>
      <c r="W24" s="334">
        <v>6098</v>
      </c>
      <c r="X24" s="336"/>
      <c r="Y24" s="335"/>
      <c r="Z24" s="640">
        <f t="shared" si="2"/>
        <v>120</v>
      </c>
    </row>
    <row r="25" spans="1:26" s="245" customFormat="1" x14ac:dyDescent="0.25">
      <c r="A25" s="97" t="s">
        <v>874</v>
      </c>
      <c r="B25" s="97" t="s">
        <v>824</v>
      </c>
      <c r="C25" s="97" t="s">
        <v>459</v>
      </c>
      <c r="D25" s="97" t="s">
        <v>861</v>
      </c>
      <c r="E25" s="97" t="s">
        <v>875</v>
      </c>
      <c r="F25" s="97" t="s">
        <v>821</v>
      </c>
      <c r="G25" s="132" t="str">
        <f t="shared" si="0"/>
        <v>16/5/2003</v>
      </c>
      <c r="H25" s="133">
        <v>16</v>
      </c>
      <c r="I25" s="133">
        <v>5</v>
      </c>
      <c r="J25" s="134">
        <v>2003</v>
      </c>
      <c r="K25" s="97" t="s">
        <v>56</v>
      </c>
      <c r="L25" s="97">
        <v>6412</v>
      </c>
      <c r="M25" s="97" t="s">
        <v>796</v>
      </c>
      <c r="N25" s="311">
        <v>1700</v>
      </c>
      <c r="O25" s="311" t="s">
        <v>876</v>
      </c>
      <c r="Q25" s="245">
        <v>10</v>
      </c>
      <c r="R25" s="30">
        <v>0</v>
      </c>
      <c r="S25" s="5">
        <v>1699</v>
      </c>
      <c r="T25" s="5">
        <v>1699</v>
      </c>
      <c r="U25" s="15">
        <f t="shared" si="3"/>
        <v>0</v>
      </c>
      <c r="V25" s="313">
        <f t="shared" si="1"/>
        <v>1</v>
      </c>
      <c r="W25" s="245">
        <v>1439</v>
      </c>
      <c r="X25" s="312"/>
      <c r="Y25" s="313"/>
      <c r="Z25" s="114">
        <f t="shared" si="2"/>
        <v>120</v>
      </c>
    </row>
    <row r="26" spans="1:26" s="245" customFormat="1" x14ac:dyDescent="0.25">
      <c r="A26" s="97" t="s">
        <v>877</v>
      </c>
      <c r="B26" s="97" t="s">
        <v>878</v>
      </c>
      <c r="C26" s="97" t="s">
        <v>879</v>
      </c>
      <c r="D26" s="97">
        <v>18</v>
      </c>
      <c r="E26" s="97" t="s">
        <v>880</v>
      </c>
      <c r="F26" s="97" t="s">
        <v>821</v>
      </c>
      <c r="G26" s="132" t="str">
        <f t="shared" si="0"/>
        <v>14/1/2004</v>
      </c>
      <c r="H26" s="133">
        <v>14</v>
      </c>
      <c r="I26" s="133">
        <v>1</v>
      </c>
      <c r="J26" s="134">
        <v>2004</v>
      </c>
      <c r="K26" s="97" t="s">
        <v>56</v>
      </c>
      <c r="L26" s="97">
        <v>7074</v>
      </c>
      <c r="M26" s="97" t="s">
        <v>796</v>
      </c>
      <c r="N26" s="311">
        <v>1107.5999999999999</v>
      </c>
      <c r="O26" s="311" t="s">
        <v>833</v>
      </c>
      <c r="Q26" s="245">
        <v>10</v>
      </c>
      <c r="R26" s="30">
        <v>0</v>
      </c>
      <c r="S26" s="5">
        <v>1106.5999999999999</v>
      </c>
      <c r="T26" s="5">
        <v>1106.5999999999999</v>
      </c>
      <c r="U26" s="15">
        <f t="shared" si="3"/>
        <v>0</v>
      </c>
      <c r="V26" s="313">
        <f t="shared" si="1"/>
        <v>1</v>
      </c>
      <c r="W26" s="245">
        <v>3175</v>
      </c>
      <c r="X26" s="312"/>
      <c r="Y26" s="313"/>
      <c r="Z26" s="114">
        <f t="shared" si="2"/>
        <v>120</v>
      </c>
    </row>
    <row r="27" spans="1:26" s="245" customFormat="1" x14ac:dyDescent="0.25">
      <c r="A27" s="97" t="s">
        <v>881</v>
      </c>
      <c r="B27" s="97" t="s">
        <v>882</v>
      </c>
      <c r="C27" s="97" t="s">
        <v>883</v>
      </c>
      <c r="D27" s="97"/>
      <c r="E27" s="97"/>
      <c r="F27" s="97" t="s">
        <v>884</v>
      </c>
      <c r="G27" s="132" t="str">
        <f t="shared" si="0"/>
        <v>3/12/2003</v>
      </c>
      <c r="H27" s="133">
        <v>3</v>
      </c>
      <c r="I27" s="133">
        <v>12</v>
      </c>
      <c r="J27" s="134">
        <v>2003</v>
      </c>
      <c r="K27" s="97" t="s">
        <v>56</v>
      </c>
      <c r="L27" s="97">
        <v>4378</v>
      </c>
      <c r="M27" s="97" t="s">
        <v>796</v>
      </c>
      <c r="N27" s="311">
        <v>14427</v>
      </c>
      <c r="O27" s="311"/>
      <c r="Q27" s="245">
        <v>10</v>
      </c>
      <c r="R27" s="30">
        <v>0</v>
      </c>
      <c r="S27" s="5">
        <v>14425.999999999998</v>
      </c>
      <c r="T27" s="5">
        <v>14425.999999999998</v>
      </c>
      <c r="U27" s="15">
        <f t="shared" si="3"/>
        <v>0</v>
      </c>
      <c r="V27" s="313">
        <f t="shared" si="1"/>
        <v>1.000000000001819</v>
      </c>
      <c r="W27" s="245">
        <v>1076</v>
      </c>
      <c r="X27" s="312"/>
      <c r="Y27" s="313"/>
      <c r="Z27" s="114">
        <f t="shared" si="2"/>
        <v>120</v>
      </c>
    </row>
    <row r="28" spans="1:26" s="334" customFormat="1" x14ac:dyDescent="0.25">
      <c r="A28" s="172" t="s">
        <v>885</v>
      </c>
      <c r="B28" s="172" t="s">
        <v>886</v>
      </c>
      <c r="C28" s="172"/>
      <c r="D28" s="641" t="s">
        <v>887</v>
      </c>
      <c r="E28" s="172"/>
      <c r="F28" s="172"/>
      <c r="G28" s="173" t="str">
        <f>CONCATENATE(H28,"/",I28,"/",J28,)</f>
        <v>3/12/2003</v>
      </c>
      <c r="H28" s="174">
        <v>3</v>
      </c>
      <c r="I28" s="174">
        <v>12</v>
      </c>
      <c r="J28" s="175">
        <v>2003</v>
      </c>
      <c r="K28" s="172"/>
      <c r="L28" s="172"/>
      <c r="M28" s="97" t="s">
        <v>796</v>
      </c>
      <c r="N28" s="333">
        <v>1</v>
      </c>
      <c r="O28" s="311"/>
      <c r="P28" s="245"/>
      <c r="Q28" s="334">
        <v>10</v>
      </c>
      <c r="R28" s="178">
        <f t="shared" si="4"/>
        <v>0</v>
      </c>
      <c r="S28" s="570">
        <v>0</v>
      </c>
      <c r="T28" s="335">
        <v>0</v>
      </c>
      <c r="U28" s="572">
        <f t="shared" si="3"/>
        <v>0</v>
      </c>
      <c r="V28" s="335">
        <f t="shared" si="1"/>
        <v>1</v>
      </c>
      <c r="X28" s="336"/>
      <c r="Y28" s="335"/>
      <c r="Z28" s="640">
        <f t="shared" si="2"/>
        <v>120</v>
      </c>
    </row>
    <row r="29" spans="1:26" s="245" customFormat="1" x14ac:dyDescent="0.25">
      <c r="A29" s="97" t="s">
        <v>888</v>
      </c>
      <c r="B29" s="97" t="s">
        <v>886</v>
      </c>
      <c r="C29" s="97"/>
      <c r="D29" s="146" t="s">
        <v>887</v>
      </c>
      <c r="E29" s="97"/>
      <c r="F29" s="97"/>
      <c r="G29" s="132" t="str">
        <f>CONCATENATE(H29,"/",I29,"/",J29,)</f>
        <v>3/12/2003</v>
      </c>
      <c r="H29" s="133">
        <v>3</v>
      </c>
      <c r="I29" s="133">
        <v>12</v>
      </c>
      <c r="J29" s="134">
        <v>2003</v>
      </c>
      <c r="K29" s="97"/>
      <c r="L29" s="97"/>
      <c r="M29" s="97" t="s">
        <v>796</v>
      </c>
      <c r="N29" s="311">
        <v>1</v>
      </c>
      <c r="O29" s="311"/>
      <c r="Q29" s="245">
        <v>10</v>
      </c>
      <c r="R29" s="30">
        <f t="shared" si="4"/>
        <v>0</v>
      </c>
      <c r="S29" s="5">
        <v>0</v>
      </c>
      <c r="T29" s="313">
        <v>0</v>
      </c>
      <c r="U29" s="15">
        <f t="shared" si="3"/>
        <v>0</v>
      </c>
      <c r="V29" s="313">
        <f t="shared" si="1"/>
        <v>1</v>
      </c>
      <c r="X29" s="312"/>
      <c r="Y29" s="313"/>
      <c r="Z29" s="114">
        <f t="shared" si="2"/>
        <v>120</v>
      </c>
    </row>
    <row r="30" spans="1:26" s="245" customFormat="1" x14ac:dyDescent="0.25">
      <c r="A30" s="97" t="s">
        <v>889</v>
      </c>
      <c r="B30" s="97" t="s">
        <v>890</v>
      </c>
      <c r="C30" s="97"/>
      <c r="D30" s="146" t="s">
        <v>891</v>
      </c>
      <c r="E30" s="97"/>
      <c r="F30" s="97" t="s">
        <v>892</v>
      </c>
      <c r="G30" s="132" t="str">
        <f t="shared" ref="G30:G93" si="6">CONCATENATE(H30,"/",I30,"/",J30,)</f>
        <v>12/8/2004</v>
      </c>
      <c r="H30" s="133">
        <v>12</v>
      </c>
      <c r="I30" s="133">
        <v>8</v>
      </c>
      <c r="J30" s="134">
        <v>2004</v>
      </c>
      <c r="K30" s="97" t="s">
        <v>893</v>
      </c>
      <c r="L30" s="97">
        <v>1118</v>
      </c>
      <c r="M30" s="97" t="s">
        <v>796</v>
      </c>
      <c r="N30" s="311">
        <v>14245</v>
      </c>
      <c r="O30" s="311" t="s">
        <v>894</v>
      </c>
      <c r="Q30" s="245">
        <v>10</v>
      </c>
      <c r="R30" s="30">
        <v>0</v>
      </c>
      <c r="S30" s="5">
        <v>14244</v>
      </c>
      <c r="T30" s="5">
        <v>14244</v>
      </c>
      <c r="U30" s="15">
        <f t="shared" si="3"/>
        <v>0</v>
      </c>
      <c r="V30" s="313">
        <f t="shared" si="1"/>
        <v>1</v>
      </c>
      <c r="W30" s="245">
        <v>4724</v>
      </c>
      <c r="X30" s="312"/>
      <c r="Y30" s="313"/>
      <c r="Z30" s="114">
        <f t="shared" si="2"/>
        <v>120</v>
      </c>
    </row>
    <row r="31" spans="1:26" s="245" customFormat="1" x14ac:dyDescent="0.25">
      <c r="A31" s="97" t="s">
        <v>895</v>
      </c>
      <c r="B31" s="97" t="s">
        <v>890</v>
      </c>
      <c r="C31" s="97"/>
      <c r="D31" s="146" t="s">
        <v>896</v>
      </c>
      <c r="E31" s="97"/>
      <c r="F31" s="97" t="s">
        <v>892</v>
      </c>
      <c r="G31" s="132" t="str">
        <f t="shared" si="6"/>
        <v>12/8/2004</v>
      </c>
      <c r="H31" s="133">
        <v>12</v>
      </c>
      <c r="I31" s="133">
        <v>8</v>
      </c>
      <c r="J31" s="134">
        <v>2004</v>
      </c>
      <c r="K31" s="97" t="s">
        <v>893</v>
      </c>
      <c r="L31" s="97">
        <v>1118</v>
      </c>
      <c r="M31" s="97" t="s">
        <v>796</v>
      </c>
      <c r="N31" s="311">
        <v>6105</v>
      </c>
      <c r="O31" s="311"/>
      <c r="Q31" s="245">
        <v>10</v>
      </c>
      <c r="R31" s="30">
        <v>0</v>
      </c>
      <c r="S31" s="5">
        <v>6104</v>
      </c>
      <c r="T31" s="5">
        <v>6104</v>
      </c>
      <c r="U31" s="15">
        <f t="shared" si="3"/>
        <v>0</v>
      </c>
      <c r="V31" s="313">
        <f t="shared" si="1"/>
        <v>1</v>
      </c>
      <c r="W31" s="245">
        <v>4724</v>
      </c>
      <c r="X31" s="312"/>
      <c r="Y31" s="313"/>
      <c r="Z31" s="114">
        <f t="shared" si="2"/>
        <v>120</v>
      </c>
    </row>
    <row r="32" spans="1:26" s="245" customFormat="1" x14ac:dyDescent="0.25">
      <c r="A32" s="97" t="s">
        <v>897</v>
      </c>
      <c r="B32" s="97" t="s">
        <v>898</v>
      </c>
      <c r="C32" s="97"/>
      <c r="D32" s="97"/>
      <c r="E32" s="97"/>
      <c r="F32" s="97"/>
      <c r="G32" s="132" t="str">
        <f t="shared" si="6"/>
        <v>12/8/2004</v>
      </c>
      <c r="H32" s="133">
        <v>12</v>
      </c>
      <c r="I32" s="133">
        <v>8</v>
      </c>
      <c r="J32" s="134">
        <v>2004</v>
      </c>
      <c r="K32" s="97"/>
      <c r="L32" s="97"/>
      <c r="M32" s="97" t="s">
        <v>796</v>
      </c>
      <c r="N32" s="311">
        <v>1</v>
      </c>
      <c r="O32" s="311"/>
      <c r="Q32" s="245">
        <v>10</v>
      </c>
      <c r="R32" s="30">
        <f t="shared" si="4"/>
        <v>0</v>
      </c>
      <c r="S32" s="5">
        <v>0</v>
      </c>
      <c r="T32" s="313">
        <v>0</v>
      </c>
      <c r="U32" s="15">
        <f t="shared" si="3"/>
        <v>0</v>
      </c>
      <c r="V32" s="313">
        <f t="shared" si="1"/>
        <v>1</v>
      </c>
      <c r="X32" s="312"/>
      <c r="Y32" s="313"/>
      <c r="Z32" s="114">
        <f t="shared" si="2"/>
        <v>120</v>
      </c>
    </row>
    <row r="33" spans="1:26" s="245" customFormat="1" x14ac:dyDescent="0.25">
      <c r="A33" s="148" t="s">
        <v>899</v>
      </c>
      <c r="B33" s="148" t="s">
        <v>900</v>
      </c>
      <c r="C33" s="148"/>
      <c r="D33" s="148"/>
      <c r="E33" s="148"/>
      <c r="F33" s="148"/>
      <c r="G33" s="149" t="str">
        <f t="shared" si="6"/>
        <v>12/8/2004</v>
      </c>
      <c r="H33" s="133">
        <v>12</v>
      </c>
      <c r="I33" s="133">
        <v>8</v>
      </c>
      <c r="J33" s="134">
        <v>2004</v>
      </c>
      <c r="K33" s="148"/>
      <c r="L33" s="148"/>
      <c r="M33" s="148" t="s">
        <v>796</v>
      </c>
      <c r="N33" s="317">
        <v>1</v>
      </c>
      <c r="O33" s="311"/>
      <c r="Q33" s="318">
        <v>10</v>
      </c>
      <c r="R33" s="18">
        <f t="shared" si="4"/>
        <v>0</v>
      </c>
      <c r="S33" s="5">
        <v>0</v>
      </c>
      <c r="T33" s="319">
        <v>0</v>
      </c>
      <c r="U33" s="15">
        <f t="shared" si="3"/>
        <v>0</v>
      </c>
      <c r="V33" s="319">
        <f t="shared" si="1"/>
        <v>1</v>
      </c>
      <c r="W33" s="318"/>
      <c r="X33" s="320"/>
      <c r="Y33" s="319"/>
      <c r="Z33" s="155">
        <f t="shared" si="2"/>
        <v>120</v>
      </c>
    </row>
    <row r="34" spans="1:26" s="245" customFormat="1" x14ac:dyDescent="0.25">
      <c r="A34" s="148" t="s">
        <v>901</v>
      </c>
      <c r="B34" s="148" t="s">
        <v>902</v>
      </c>
      <c r="C34" s="148"/>
      <c r="D34" s="148"/>
      <c r="E34" s="148"/>
      <c r="F34" s="148"/>
      <c r="G34" s="149" t="str">
        <f t="shared" si="6"/>
        <v>12/8/2004</v>
      </c>
      <c r="H34" s="133">
        <v>12</v>
      </c>
      <c r="I34" s="133">
        <v>8</v>
      </c>
      <c r="J34" s="134">
        <v>2004</v>
      </c>
      <c r="K34" s="148"/>
      <c r="L34" s="148"/>
      <c r="M34" s="148" t="s">
        <v>796</v>
      </c>
      <c r="N34" s="317">
        <v>1</v>
      </c>
      <c r="O34" s="311"/>
      <c r="Q34" s="318">
        <v>10</v>
      </c>
      <c r="R34" s="18">
        <f t="shared" si="4"/>
        <v>0</v>
      </c>
      <c r="S34" s="5">
        <v>0</v>
      </c>
      <c r="T34" s="319">
        <v>0</v>
      </c>
      <c r="U34" s="15">
        <f t="shared" si="3"/>
        <v>0</v>
      </c>
      <c r="V34" s="319">
        <f t="shared" si="1"/>
        <v>1</v>
      </c>
      <c r="W34" s="318"/>
      <c r="X34" s="320"/>
      <c r="Y34" s="319"/>
      <c r="Z34" s="155">
        <f t="shared" si="2"/>
        <v>120</v>
      </c>
    </row>
    <row r="35" spans="1:26" s="245" customFormat="1" x14ac:dyDescent="0.25">
      <c r="A35" s="156" t="s">
        <v>903</v>
      </c>
      <c r="B35" s="156" t="s">
        <v>904</v>
      </c>
      <c r="C35" s="156"/>
      <c r="D35" s="156"/>
      <c r="E35" s="156"/>
      <c r="F35" s="156"/>
      <c r="G35" s="157" t="str">
        <f t="shared" si="6"/>
        <v>12/8/2004</v>
      </c>
      <c r="H35" s="133">
        <v>12</v>
      </c>
      <c r="I35" s="133">
        <v>8</v>
      </c>
      <c r="J35" s="134">
        <v>2004</v>
      </c>
      <c r="K35" s="156"/>
      <c r="L35" s="156"/>
      <c r="M35" s="156" t="s">
        <v>796</v>
      </c>
      <c r="N35" s="321">
        <v>1</v>
      </c>
      <c r="O35" s="314" t="s">
        <v>905</v>
      </c>
      <c r="P35" s="315"/>
      <c r="Q35" s="322">
        <v>10</v>
      </c>
      <c r="R35" s="159">
        <f t="shared" si="4"/>
        <v>0</v>
      </c>
      <c r="S35" s="5">
        <v>0</v>
      </c>
      <c r="T35" s="323">
        <v>0</v>
      </c>
      <c r="U35" s="15">
        <f t="shared" si="3"/>
        <v>0</v>
      </c>
      <c r="V35" s="323">
        <f t="shared" si="1"/>
        <v>1</v>
      </c>
      <c r="W35" s="322"/>
      <c r="X35" s="324"/>
      <c r="Y35" s="323"/>
      <c r="Z35" s="160">
        <f t="shared" si="2"/>
        <v>120</v>
      </c>
    </row>
    <row r="36" spans="1:26" s="245" customFormat="1" x14ac:dyDescent="0.25">
      <c r="A36" s="97" t="s">
        <v>906</v>
      </c>
      <c r="B36" s="97" t="s">
        <v>907</v>
      </c>
      <c r="C36" s="97" t="s">
        <v>908</v>
      </c>
      <c r="D36" s="97" t="s">
        <v>909</v>
      </c>
      <c r="E36" s="97"/>
      <c r="F36" s="97" t="s">
        <v>910</v>
      </c>
      <c r="G36" s="132" t="str">
        <f t="shared" si="6"/>
        <v>12/5/2003</v>
      </c>
      <c r="H36" s="133">
        <v>12</v>
      </c>
      <c r="I36" s="133">
        <v>5</v>
      </c>
      <c r="J36" s="134">
        <v>2003</v>
      </c>
      <c r="K36" s="97" t="s">
        <v>56</v>
      </c>
      <c r="L36" s="97">
        <v>46219</v>
      </c>
      <c r="M36" s="97" t="s">
        <v>796</v>
      </c>
      <c r="N36" s="311">
        <v>4924</v>
      </c>
      <c r="O36" s="311" t="s">
        <v>833</v>
      </c>
      <c r="Q36" s="245">
        <v>10</v>
      </c>
      <c r="R36" s="30">
        <v>0</v>
      </c>
      <c r="S36" s="5">
        <v>4923</v>
      </c>
      <c r="T36" s="5">
        <v>4923</v>
      </c>
      <c r="U36" s="15">
        <f t="shared" si="3"/>
        <v>0</v>
      </c>
      <c r="V36" s="313">
        <f t="shared" si="1"/>
        <v>1</v>
      </c>
      <c r="X36" s="312"/>
      <c r="Y36" s="313"/>
      <c r="Z36" s="114">
        <f t="shared" si="2"/>
        <v>120</v>
      </c>
    </row>
    <row r="37" spans="1:26" s="245" customFormat="1" x14ac:dyDescent="0.25">
      <c r="A37" s="97" t="s">
        <v>911</v>
      </c>
      <c r="B37" s="97" t="s">
        <v>912</v>
      </c>
      <c r="C37" s="97"/>
      <c r="D37" s="97" t="s">
        <v>913</v>
      </c>
      <c r="E37" s="97"/>
      <c r="F37" s="97" t="s">
        <v>914</v>
      </c>
      <c r="G37" s="132" t="str">
        <f t="shared" si="6"/>
        <v>21/11/2003</v>
      </c>
      <c r="H37" s="133">
        <v>21</v>
      </c>
      <c r="I37" s="133">
        <v>11</v>
      </c>
      <c r="J37" s="134">
        <v>2003</v>
      </c>
      <c r="K37" s="97" t="s">
        <v>56</v>
      </c>
      <c r="L37" s="97">
        <v>13675</v>
      </c>
      <c r="M37" s="97" t="s">
        <v>796</v>
      </c>
      <c r="N37" s="311">
        <v>2268.0100000000002</v>
      </c>
      <c r="O37" s="311"/>
      <c r="Q37" s="245">
        <v>10</v>
      </c>
      <c r="R37" s="30">
        <v>0</v>
      </c>
      <c r="S37" s="5">
        <v>2267.0100000000002</v>
      </c>
      <c r="T37" s="5">
        <v>2267.0100000000002</v>
      </c>
      <c r="U37" s="15">
        <f t="shared" si="3"/>
        <v>0</v>
      </c>
      <c r="V37" s="313">
        <f t="shared" si="1"/>
        <v>1</v>
      </c>
      <c r="W37" s="245">
        <v>2459</v>
      </c>
      <c r="X37" s="312"/>
      <c r="Y37" s="313"/>
      <c r="Z37" s="114">
        <f t="shared" si="2"/>
        <v>120</v>
      </c>
    </row>
    <row r="38" spans="1:26" s="245" customFormat="1" x14ac:dyDescent="0.25">
      <c r="A38" s="97" t="s">
        <v>915</v>
      </c>
      <c r="B38" s="97" t="s">
        <v>912</v>
      </c>
      <c r="C38" s="97"/>
      <c r="D38" s="97" t="s">
        <v>916</v>
      </c>
      <c r="E38" s="97"/>
      <c r="F38" s="97" t="s">
        <v>914</v>
      </c>
      <c r="G38" s="132" t="str">
        <f t="shared" si="6"/>
        <v>21/11/2003</v>
      </c>
      <c r="H38" s="133">
        <v>21</v>
      </c>
      <c r="I38" s="133">
        <v>11</v>
      </c>
      <c r="J38" s="134">
        <v>2003</v>
      </c>
      <c r="K38" s="97" t="s">
        <v>56</v>
      </c>
      <c r="L38" s="97">
        <v>13675</v>
      </c>
      <c r="M38" s="97" t="s">
        <v>796</v>
      </c>
      <c r="N38" s="311">
        <v>4475.0600000000004</v>
      </c>
      <c r="O38" s="311"/>
      <c r="Q38" s="245">
        <v>10</v>
      </c>
      <c r="R38" s="30">
        <v>0</v>
      </c>
      <c r="S38" s="5">
        <v>4474.0600000000013</v>
      </c>
      <c r="T38" s="5">
        <v>4474.0600000000013</v>
      </c>
      <c r="U38" s="15">
        <f t="shared" si="3"/>
        <v>0</v>
      </c>
      <c r="V38" s="313">
        <f t="shared" si="1"/>
        <v>0.99999999999909051</v>
      </c>
      <c r="W38" s="245">
        <v>2459</v>
      </c>
      <c r="X38" s="312"/>
      <c r="Y38" s="313"/>
      <c r="Z38" s="114">
        <f t="shared" si="2"/>
        <v>120</v>
      </c>
    </row>
    <row r="39" spans="1:26" s="245" customFormat="1" x14ac:dyDescent="0.25">
      <c r="A39" s="97" t="s">
        <v>917</v>
      </c>
      <c r="B39" s="97" t="s">
        <v>912</v>
      </c>
      <c r="C39" s="97"/>
      <c r="D39" s="97" t="s">
        <v>918</v>
      </c>
      <c r="E39" s="97"/>
      <c r="F39" s="97" t="s">
        <v>919</v>
      </c>
      <c r="G39" s="132" t="str">
        <f t="shared" si="6"/>
        <v>10/5/2004</v>
      </c>
      <c r="H39" s="133">
        <v>10</v>
      </c>
      <c r="I39" s="133">
        <v>5</v>
      </c>
      <c r="J39" s="134">
        <v>2004</v>
      </c>
      <c r="K39" s="97" t="s">
        <v>56</v>
      </c>
      <c r="L39" s="97">
        <v>14287</v>
      </c>
      <c r="M39" s="97" t="s">
        <v>796</v>
      </c>
      <c r="N39" s="311">
        <v>4500</v>
      </c>
      <c r="O39" s="311"/>
      <c r="Q39" s="245">
        <v>10</v>
      </c>
      <c r="R39" s="30">
        <v>0</v>
      </c>
      <c r="S39" s="5">
        <v>4499</v>
      </c>
      <c r="T39" s="5">
        <v>4499</v>
      </c>
      <c r="U39" s="15">
        <f t="shared" si="3"/>
        <v>0</v>
      </c>
      <c r="V39" s="313">
        <f t="shared" ref="V39:V70" si="7">N39-T39</f>
        <v>1</v>
      </c>
      <c r="W39" s="245">
        <v>4738</v>
      </c>
      <c r="X39" s="312"/>
      <c r="Y39" s="313"/>
      <c r="Z39" s="114">
        <f t="shared" si="2"/>
        <v>120</v>
      </c>
    </row>
    <row r="40" spans="1:26" s="245" customFormat="1" x14ac:dyDescent="0.25">
      <c r="A40" s="97" t="s">
        <v>549</v>
      </c>
      <c r="B40" s="97" t="s">
        <v>912</v>
      </c>
      <c r="C40" s="97"/>
      <c r="D40" s="97" t="s">
        <v>920</v>
      </c>
      <c r="E40" s="97"/>
      <c r="F40" s="97" t="s">
        <v>919</v>
      </c>
      <c r="G40" s="132" t="str">
        <f t="shared" si="6"/>
        <v>21/11/2003</v>
      </c>
      <c r="H40" s="133">
        <v>21</v>
      </c>
      <c r="I40" s="133">
        <v>11</v>
      </c>
      <c r="J40" s="134">
        <v>2003</v>
      </c>
      <c r="K40" s="97" t="s">
        <v>56</v>
      </c>
      <c r="L40" s="97">
        <v>13675</v>
      </c>
      <c r="M40" s="97" t="s">
        <v>796</v>
      </c>
      <c r="N40" s="311">
        <v>2268.0700000000002</v>
      </c>
      <c r="O40" s="311"/>
      <c r="Q40" s="245">
        <v>10</v>
      </c>
      <c r="R40" s="30">
        <v>0</v>
      </c>
      <c r="S40" s="5">
        <v>2267.0700000000002</v>
      </c>
      <c r="T40" s="5">
        <v>2267.0700000000002</v>
      </c>
      <c r="U40" s="15">
        <f t="shared" si="3"/>
        <v>0</v>
      </c>
      <c r="V40" s="313">
        <f t="shared" si="7"/>
        <v>1</v>
      </c>
      <c r="W40" s="245">
        <v>2459</v>
      </c>
      <c r="X40" s="312"/>
      <c r="Y40" s="313"/>
      <c r="Z40" s="114">
        <f t="shared" si="2"/>
        <v>120</v>
      </c>
    </row>
    <row r="41" spans="1:26" s="245" customFormat="1" x14ac:dyDescent="0.25">
      <c r="A41" s="97" t="s">
        <v>921</v>
      </c>
      <c r="B41" s="97" t="s">
        <v>922</v>
      </c>
      <c r="C41" s="97"/>
      <c r="D41" s="97" t="s">
        <v>923</v>
      </c>
      <c r="E41" s="97"/>
      <c r="F41" s="97" t="s">
        <v>919</v>
      </c>
      <c r="G41" s="132" t="str">
        <f t="shared" si="6"/>
        <v>21/11/2003</v>
      </c>
      <c r="H41" s="133">
        <v>21</v>
      </c>
      <c r="I41" s="133">
        <v>11</v>
      </c>
      <c r="J41" s="134">
        <v>2003</v>
      </c>
      <c r="K41" s="97" t="s">
        <v>56</v>
      </c>
      <c r="L41" s="97">
        <v>13675</v>
      </c>
      <c r="M41" s="97" t="s">
        <v>796</v>
      </c>
      <c r="N41" s="311">
        <v>4475.12</v>
      </c>
      <c r="O41" s="311"/>
      <c r="Q41" s="245">
        <v>10</v>
      </c>
      <c r="R41" s="30">
        <v>0</v>
      </c>
      <c r="S41" s="5">
        <v>4474.12</v>
      </c>
      <c r="T41" s="5">
        <v>4474.12</v>
      </c>
      <c r="U41" s="15">
        <f t="shared" si="3"/>
        <v>0</v>
      </c>
      <c r="V41" s="313">
        <f t="shared" si="7"/>
        <v>1</v>
      </c>
      <c r="W41" s="245">
        <v>2459</v>
      </c>
      <c r="X41" s="312"/>
      <c r="Y41" s="313"/>
      <c r="Z41" s="114">
        <f t="shared" si="2"/>
        <v>120</v>
      </c>
    </row>
    <row r="42" spans="1:26" s="245" customFormat="1" x14ac:dyDescent="0.25">
      <c r="A42" s="97" t="s">
        <v>924</v>
      </c>
      <c r="B42" s="97" t="s">
        <v>925</v>
      </c>
      <c r="C42" s="97"/>
      <c r="D42" s="97"/>
      <c r="E42" s="97"/>
      <c r="F42" s="97" t="s">
        <v>838</v>
      </c>
      <c r="G42" s="132" t="str">
        <f t="shared" si="6"/>
        <v>27/5/2003</v>
      </c>
      <c r="H42" s="133">
        <v>27</v>
      </c>
      <c r="I42" s="133">
        <v>5</v>
      </c>
      <c r="J42" s="134">
        <v>2003</v>
      </c>
      <c r="K42" s="97" t="s">
        <v>56</v>
      </c>
      <c r="L42" s="97">
        <v>29026</v>
      </c>
      <c r="M42" s="97" t="s">
        <v>796</v>
      </c>
      <c r="N42" s="311">
        <v>2284.8000000000002</v>
      </c>
      <c r="O42" s="311"/>
      <c r="Q42" s="245">
        <v>10</v>
      </c>
      <c r="R42" s="30">
        <v>0</v>
      </c>
      <c r="S42" s="5">
        <v>2283.8000000000002</v>
      </c>
      <c r="T42" s="5">
        <v>2283.8000000000002</v>
      </c>
      <c r="U42" s="15">
        <f t="shared" si="3"/>
        <v>0</v>
      </c>
      <c r="V42" s="313">
        <f t="shared" si="7"/>
        <v>1</v>
      </c>
      <c r="W42" s="245">
        <v>1361</v>
      </c>
      <c r="X42" s="312"/>
      <c r="Y42" s="313"/>
      <c r="Z42" s="114">
        <f t="shared" si="2"/>
        <v>120</v>
      </c>
    </row>
    <row r="43" spans="1:26" s="245" customFormat="1" x14ac:dyDescent="0.25">
      <c r="A43" s="97" t="s">
        <v>926</v>
      </c>
      <c r="B43" s="97" t="s">
        <v>927</v>
      </c>
      <c r="C43" s="97" t="s">
        <v>928</v>
      </c>
      <c r="D43" s="97" t="s">
        <v>929</v>
      </c>
      <c r="E43" s="97">
        <v>331155020</v>
      </c>
      <c r="F43" s="97" t="s">
        <v>930</v>
      </c>
      <c r="G43" s="132" t="str">
        <f t="shared" si="6"/>
        <v>6/6/2003</v>
      </c>
      <c r="H43" s="133">
        <v>6</v>
      </c>
      <c r="I43" s="133">
        <v>6</v>
      </c>
      <c r="J43" s="134">
        <v>2003</v>
      </c>
      <c r="K43" s="97" t="s">
        <v>931</v>
      </c>
      <c r="L43" s="97">
        <v>338</v>
      </c>
      <c r="M43" s="97" t="s">
        <v>796</v>
      </c>
      <c r="N43" s="311">
        <v>8955</v>
      </c>
      <c r="O43" s="311" t="s">
        <v>215</v>
      </c>
      <c r="Q43" s="245">
        <v>10</v>
      </c>
      <c r="R43" s="30">
        <v>0</v>
      </c>
      <c r="S43" s="5">
        <v>8954</v>
      </c>
      <c r="T43" s="5">
        <v>8954</v>
      </c>
      <c r="U43" s="15">
        <f t="shared" si="3"/>
        <v>0</v>
      </c>
      <c r="V43" s="313">
        <f t="shared" si="7"/>
        <v>1</v>
      </c>
      <c r="W43" s="245">
        <v>1436</v>
      </c>
      <c r="X43" s="312"/>
      <c r="Y43" s="313"/>
      <c r="Z43" s="114">
        <f t="shared" si="2"/>
        <v>120</v>
      </c>
    </row>
    <row r="44" spans="1:26" s="245" customFormat="1" x14ac:dyDescent="0.25">
      <c r="A44" s="97" t="s">
        <v>932</v>
      </c>
      <c r="B44" s="97" t="s">
        <v>933</v>
      </c>
      <c r="C44" s="97"/>
      <c r="D44" s="97"/>
      <c r="E44" s="97"/>
      <c r="F44" s="97" t="s">
        <v>934</v>
      </c>
      <c r="G44" s="132" t="str">
        <f t="shared" si="6"/>
        <v>11/8/2003</v>
      </c>
      <c r="H44" s="133">
        <v>11</v>
      </c>
      <c r="I44" s="133">
        <v>8</v>
      </c>
      <c r="J44" s="134">
        <v>2003</v>
      </c>
      <c r="K44" s="97" t="s">
        <v>931</v>
      </c>
      <c r="L44" s="97">
        <v>695</v>
      </c>
      <c r="M44" s="97" t="s">
        <v>796</v>
      </c>
      <c r="N44" s="311">
        <v>7195.5</v>
      </c>
      <c r="O44" s="311"/>
      <c r="Q44" s="245">
        <v>10</v>
      </c>
      <c r="R44" s="30">
        <v>0</v>
      </c>
      <c r="S44" s="5">
        <v>7194.5000000000009</v>
      </c>
      <c r="T44" s="5">
        <v>7194.5000000000009</v>
      </c>
      <c r="U44" s="15">
        <f t="shared" si="3"/>
        <v>0</v>
      </c>
      <c r="V44" s="313">
        <f t="shared" si="7"/>
        <v>0.99999999999909051</v>
      </c>
      <c r="W44" s="245">
        <v>2532</v>
      </c>
      <c r="X44" s="312"/>
      <c r="Y44" s="313"/>
      <c r="Z44" s="114">
        <f t="shared" si="2"/>
        <v>120</v>
      </c>
    </row>
    <row r="45" spans="1:26" s="245" customFormat="1" x14ac:dyDescent="0.25">
      <c r="A45" s="161" t="s">
        <v>935</v>
      </c>
      <c r="B45" s="161" t="s">
        <v>936</v>
      </c>
      <c r="C45" s="161"/>
      <c r="D45" s="161"/>
      <c r="E45" s="161"/>
      <c r="F45" s="161" t="s">
        <v>937</v>
      </c>
      <c r="G45" s="162" t="str">
        <f t="shared" si="6"/>
        <v>2/6/2004</v>
      </c>
      <c r="H45" s="163">
        <v>2</v>
      </c>
      <c r="I45" s="163">
        <v>6</v>
      </c>
      <c r="J45" s="164">
        <v>2004</v>
      </c>
      <c r="K45" s="161" t="s">
        <v>931</v>
      </c>
      <c r="L45" s="161">
        <v>841</v>
      </c>
      <c r="M45" s="161" t="s">
        <v>796</v>
      </c>
      <c r="N45" s="325">
        <v>900</v>
      </c>
      <c r="O45" s="316" t="s">
        <v>938</v>
      </c>
      <c r="Q45" s="326">
        <v>10</v>
      </c>
      <c r="R45" s="30">
        <v>0</v>
      </c>
      <c r="S45" s="5">
        <v>899</v>
      </c>
      <c r="T45" s="5">
        <v>899</v>
      </c>
      <c r="U45" s="15">
        <f t="shared" si="3"/>
        <v>0</v>
      </c>
      <c r="V45" s="327">
        <f t="shared" si="7"/>
        <v>1</v>
      </c>
      <c r="W45" s="326">
        <v>3169</v>
      </c>
      <c r="X45" s="328"/>
      <c r="Y45" s="327"/>
      <c r="Z45" s="165">
        <f t="shared" si="2"/>
        <v>120</v>
      </c>
    </row>
    <row r="46" spans="1:26" s="245" customFormat="1" x14ac:dyDescent="0.25">
      <c r="A46" s="166" t="s">
        <v>939</v>
      </c>
      <c r="B46" s="166" t="s">
        <v>940</v>
      </c>
      <c r="C46" s="166"/>
      <c r="D46" s="166"/>
      <c r="E46" s="166"/>
      <c r="F46" s="166" t="s">
        <v>937</v>
      </c>
      <c r="G46" s="167" t="str">
        <f t="shared" si="6"/>
        <v>2/6/2004</v>
      </c>
      <c r="H46" s="168">
        <v>2</v>
      </c>
      <c r="I46" s="168">
        <v>6</v>
      </c>
      <c r="J46" s="169">
        <v>2004</v>
      </c>
      <c r="K46" s="166" t="s">
        <v>931</v>
      </c>
      <c r="L46" s="166">
        <v>841</v>
      </c>
      <c r="M46" s="166" t="s">
        <v>796</v>
      </c>
      <c r="N46" s="329">
        <v>900</v>
      </c>
      <c r="O46" s="311" t="s">
        <v>941</v>
      </c>
      <c r="Q46" s="330">
        <v>10</v>
      </c>
      <c r="R46" s="30">
        <v>0</v>
      </c>
      <c r="S46" s="5">
        <v>899</v>
      </c>
      <c r="T46" s="5">
        <v>899</v>
      </c>
      <c r="U46" s="15">
        <f t="shared" si="3"/>
        <v>0</v>
      </c>
      <c r="V46" s="331">
        <f t="shared" si="7"/>
        <v>1</v>
      </c>
      <c r="W46" s="330">
        <v>3169</v>
      </c>
      <c r="X46" s="332"/>
      <c r="Y46" s="331"/>
      <c r="Z46" s="171">
        <f t="shared" si="2"/>
        <v>120</v>
      </c>
    </row>
    <row r="47" spans="1:26" s="245" customFormat="1" x14ac:dyDescent="0.25">
      <c r="A47" s="97" t="s">
        <v>942</v>
      </c>
      <c r="B47" s="97" t="s">
        <v>943</v>
      </c>
      <c r="C47" s="97"/>
      <c r="D47" s="97"/>
      <c r="E47" s="97"/>
      <c r="F47" s="97" t="s">
        <v>821</v>
      </c>
      <c r="G47" s="132" t="str">
        <f t="shared" si="6"/>
        <v>29/11/2002</v>
      </c>
      <c r="H47" s="133">
        <v>29</v>
      </c>
      <c r="I47" s="133">
        <v>11</v>
      </c>
      <c r="J47" s="134">
        <v>2002</v>
      </c>
      <c r="K47" s="97" t="s">
        <v>56</v>
      </c>
      <c r="L47" s="97">
        <v>5737</v>
      </c>
      <c r="M47" s="97" t="s">
        <v>796</v>
      </c>
      <c r="N47" s="311">
        <v>1882</v>
      </c>
      <c r="O47" s="311"/>
      <c r="Q47" s="245">
        <v>10</v>
      </c>
      <c r="R47" s="30">
        <v>0</v>
      </c>
      <c r="S47" s="5">
        <v>1880.9999999999998</v>
      </c>
      <c r="T47" s="5">
        <v>1880.9999999999998</v>
      </c>
      <c r="U47" s="15">
        <f t="shared" si="3"/>
        <v>0</v>
      </c>
      <c r="V47" s="313">
        <f t="shared" si="7"/>
        <v>1.0000000000002274</v>
      </c>
      <c r="W47" s="245">
        <v>1118</v>
      </c>
      <c r="X47" s="312"/>
      <c r="Y47" s="313"/>
      <c r="Z47" s="114">
        <f t="shared" si="2"/>
        <v>120</v>
      </c>
    </row>
    <row r="48" spans="1:26" s="245" customFormat="1" x14ac:dyDescent="0.25">
      <c r="A48" s="97" t="s">
        <v>944</v>
      </c>
      <c r="B48" s="97" t="s">
        <v>945</v>
      </c>
      <c r="C48" s="97"/>
      <c r="D48" s="97"/>
      <c r="E48" s="97"/>
      <c r="F48" s="97"/>
      <c r="G48" s="132" t="str">
        <f t="shared" si="6"/>
        <v>31/12/2003</v>
      </c>
      <c r="H48" s="133">
        <v>31</v>
      </c>
      <c r="I48" s="133">
        <v>12</v>
      </c>
      <c r="J48" s="134">
        <v>2003</v>
      </c>
      <c r="K48" s="97"/>
      <c r="L48" s="97"/>
      <c r="M48" s="97" t="s">
        <v>796</v>
      </c>
      <c r="N48" s="311">
        <v>3905</v>
      </c>
      <c r="O48" s="311"/>
      <c r="Q48" s="245">
        <v>10</v>
      </c>
      <c r="R48" s="30">
        <v>0</v>
      </c>
      <c r="S48" s="5">
        <v>3904</v>
      </c>
      <c r="T48" s="5">
        <v>3904</v>
      </c>
      <c r="U48" s="15">
        <f t="shared" si="3"/>
        <v>0</v>
      </c>
      <c r="V48" s="313">
        <f t="shared" si="7"/>
        <v>1</v>
      </c>
      <c r="X48" s="312"/>
      <c r="Y48" s="313"/>
      <c r="Z48" s="114">
        <f t="shared" si="2"/>
        <v>120</v>
      </c>
    </row>
    <row r="49" spans="1:26" s="245" customFormat="1" x14ac:dyDescent="0.25">
      <c r="A49" s="97" t="s">
        <v>946</v>
      </c>
      <c r="B49" s="97" t="s">
        <v>947</v>
      </c>
      <c r="C49" s="97"/>
      <c r="D49" s="97"/>
      <c r="E49" s="97"/>
      <c r="F49" s="97" t="s">
        <v>838</v>
      </c>
      <c r="G49" s="132" t="str">
        <f t="shared" si="6"/>
        <v>22/5/2003</v>
      </c>
      <c r="H49" s="133">
        <v>22</v>
      </c>
      <c r="I49" s="133">
        <v>5</v>
      </c>
      <c r="J49" s="134">
        <v>2003</v>
      </c>
      <c r="K49" s="97" t="s">
        <v>56</v>
      </c>
      <c r="L49" s="97">
        <v>28960</v>
      </c>
      <c r="M49" s="97" t="s">
        <v>796</v>
      </c>
      <c r="N49" s="311">
        <v>3379.6</v>
      </c>
      <c r="O49" s="311" t="s">
        <v>948</v>
      </c>
      <c r="Q49" s="245">
        <v>10</v>
      </c>
      <c r="R49" s="30">
        <v>0</v>
      </c>
      <c r="S49" s="5">
        <v>3378.6000000000004</v>
      </c>
      <c r="T49" s="5">
        <v>3378.6000000000004</v>
      </c>
      <c r="U49" s="15">
        <f t="shared" si="3"/>
        <v>0</v>
      </c>
      <c r="V49" s="313">
        <f t="shared" si="7"/>
        <v>0.99999999999954525</v>
      </c>
      <c r="W49" s="245">
        <v>1357</v>
      </c>
      <c r="X49" s="312"/>
      <c r="Y49" s="313"/>
      <c r="Z49" s="114">
        <f t="shared" si="2"/>
        <v>120</v>
      </c>
    </row>
    <row r="50" spans="1:26" s="245" customFormat="1" x14ac:dyDescent="0.25">
      <c r="A50" s="97" t="s">
        <v>949</v>
      </c>
      <c r="B50" s="97" t="s">
        <v>950</v>
      </c>
      <c r="C50" s="97"/>
      <c r="D50" s="97"/>
      <c r="E50" s="97"/>
      <c r="F50" s="97" t="s">
        <v>847</v>
      </c>
      <c r="G50" s="132" t="str">
        <f t="shared" si="6"/>
        <v>2/4/2005</v>
      </c>
      <c r="H50" s="133">
        <v>2</v>
      </c>
      <c r="I50" s="133">
        <v>4</v>
      </c>
      <c r="J50" s="134">
        <v>2005</v>
      </c>
      <c r="K50" s="97" t="s">
        <v>56</v>
      </c>
      <c r="L50" s="97">
        <v>5886</v>
      </c>
      <c r="M50" s="97" t="s">
        <v>796</v>
      </c>
      <c r="N50" s="311">
        <v>8537.6</v>
      </c>
      <c r="O50" s="311" t="s">
        <v>951</v>
      </c>
      <c r="Q50" s="245">
        <v>10</v>
      </c>
      <c r="R50" s="30">
        <v>0</v>
      </c>
      <c r="S50" s="5">
        <v>8536.6</v>
      </c>
      <c r="T50" s="5">
        <v>8536.6</v>
      </c>
      <c r="U50" s="15">
        <f t="shared" si="3"/>
        <v>0</v>
      </c>
      <c r="V50" s="313">
        <f t="shared" si="7"/>
        <v>1</v>
      </c>
      <c r="W50" s="245">
        <v>5838</v>
      </c>
      <c r="X50" s="312"/>
      <c r="Y50" s="313"/>
      <c r="Z50" s="114">
        <f t="shared" si="2"/>
        <v>120</v>
      </c>
    </row>
    <row r="51" spans="1:26" s="245" customFormat="1" x14ac:dyDescent="0.25">
      <c r="A51" s="166" t="s">
        <v>952</v>
      </c>
      <c r="B51" s="166" t="s">
        <v>953</v>
      </c>
      <c r="C51" s="166"/>
      <c r="D51" s="166"/>
      <c r="E51" s="166"/>
      <c r="F51" s="166" t="s">
        <v>937</v>
      </c>
      <c r="G51" s="167" t="str">
        <f t="shared" si="6"/>
        <v>2/6/2004</v>
      </c>
      <c r="H51" s="168">
        <v>2</v>
      </c>
      <c r="I51" s="168">
        <v>6</v>
      </c>
      <c r="J51" s="169">
        <v>2004</v>
      </c>
      <c r="K51" s="166" t="s">
        <v>931</v>
      </c>
      <c r="L51" s="166">
        <v>841</v>
      </c>
      <c r="M51" s="166" t="s">
        <v>796</v>
      </c>
      <c r="N51" s="329">
        <v>900</v>
      </c>
      <c r="O51" s="311"/>
      <c r="Q51" s="330">
        <v>10</v>
      </c>
      <c r="R51" s="170">
        <v>0</v>
      </c>
      <c r="S51" s="5">
        <v>899</v>
      </c>
      <c r="T51" s="5">
        <v>899</v>
      </c>
      <c r="U51" s="15">
        <f t="shared" si="3"/>
        <v>0</v>
      </c>
      <c r="V51" s="331">
        <f t="shared" si="7"/>
        <v>1</v>
      </c>
      <c r="W51" s="330">
        <v>3169</v>
      </c>
      <c r="X51" s="332"/>
      <c r="Y51" s="331"/>
      <c r="Z51" s="171">
        <f t="shared" si="2"/>
        <v>120</v>
      </c>
    </row>
    <row r="52" spans="1:26" s="245" customFormat="1" x14ac:dyDescent="0.25">
      <c r="A52" s="166" t="s">
        <v>954</v>
      </c>
      <c r="B52" s="166" t="s">
        <v>953</v>
      </c>
      <c r="C52" s="166"/>
      <c r="D52" s="166"/>
      <c r="E52" s="166"/>
      <c r="F52" s="166" t="s">
        <v>937</v>
      </c>
      <c r="G52" s="167" t="str">
        <f t="shared" si="6"/>
        <v>2/6/2004</v>
      </c>
      <c r="H52" s="168">
        <v>2</v>
      </c>
      <c r="I52" s="168">
        <v>6</v>
      </c>
      <c r="J52" s="169">
        <v>2004</v>
      </c>
      <c r="K52" s="166" t="s">
        <v>931</v>
      </c>
      <c r="L52" s="166">
        <v>841</v>
      </c>
      <c r="M52" s="166" t="s">
        <v>796</v>
      </c>
      <c r="N52" s="329">
        <v>900</v>
      </c>
      <c r="O52" s="311"/>
      <c r="Q52" s="330">
        <v>10</v>
      </c>
      <c r="R52" s="170">
        <v>0</v>
      </c>
      <c r="S52" s="5">
        <v>899</v>
      </c>
      <c r="T52" s="5">
        <v>899</v>
      </c>
      <c r="U52" s="15">
        <f t="shared" si="3"/>
        <v>0</v>
      </c>
      <c r="V52" s="331">
        <f t="shared" si="7"/>
        <v>1</v>
      </c>
      <c r="W52" s="330">
        <v>3169</v>
      </c>
      <c r="X52" s="332"/>
      <c r="Y52" s="331"/>
      <c r="Z52" s="171">
        <f t="shared" si="2"/>
        <v>120</v>
      </c>
    </row>
    <row r="53" spans="1:26" s="245" customFormat="1" x14ac:dyDescent="0.25">
      <c r="A53" s="172" t="s">
        <v>955</v>
      </c>
      <c r="B53" s="172" t="s">
        <v>956</v>
      </c>
      <c r="C53" s="172"/>
      <c r="D53" s="172"/>
      <c r="E53" s="172"/>
      <c r="F53" s="172" t="s">
        <v>821</v>
      </c>
      <c r="G53" s="173" t="str">
        <f t="shared" si="6"/>
        <v>6/11/2003</v>
      </c>
      <c r="H53" s="174">
        <v>6</v>
      </c>
      <c r="I53" s="174">
        <v>11</v>
      </c>
      <c r="J53" s="175">
        <v>2003</v>
      </c>
      <c r="K53" s="172" t="s">
        <v>56</v>
      </c>
      <c r="L53" s="172">
        <v>6502</v>
      </c>
      <c r="M53" s="172" t="s">
        <v>796</v>
      </c>
      <c r="N53" s="333">
        <v>3905</v>
      </c>
      <c r="O53" s="311"/>
      <c r="Q53" s="334">
        <v>10</v>
      </c>
      <c r="R53" s="178">
        <v>0</v>
      </c>
      <c r="S53" s="5">
        <v>3904</v>
      </c>
      <c r="T53" s="5">
        <v>3904</v>
      </c>
      <c r="U53" s="15">
        <f t="shared" si="3"/>
        <v>0</v>
      </c>
      <c r="V53" s="335">
        <f t="shared" si="7"/>
        <v>1</v>
      </c>
      <c r="W53" s="334">
        <v>1559</v>
      </c>
      <c r="X53" s="336"/>
      <c r="Y53" s="335"/>
      <c r="Z53" s="180">
        <f t="shared" si="2"/>
        <v>120</v>
      </c>
    </row>
    <row r="54" spans="1:26" s="245" customFormat="1" x14ac:dyDescent="0.25">
      <c r="A54" s="97" t="s">
        <v>957</v>
      </c>
      <c r="B54" s="97" t="s">
        <v>912</v>
      </c>
      <c r="C54" s="97"/>
      <c r="D54" s="97" t="s">
        <v>958</v>
      </c>
      <c r="E54" s="97"/>
      <c r="F54" s="97" t="s">
        <v>959</v>
      </c>
      <c r="G54" s="132" t="str">
        <f t="shared" si="6"/>
        <v>4/8/2005</v>
      </c>
      <c r="H54" s="133">
        <v>4</v>
      </c>
      <c r="I54" s="133">
        <v>8</v>
      </c>
      <c r="J54" s="134">
        <v>2005</v>
      </c>
      <c r="K54" s="97" t="s">
        <v>931</v>
      </c>
      <c r="L54" s="97">
        <v>1323</v>
      </c>
      <c r="M54" s="97" t="s">
        <v>796</v>
      </c>
      <c r="N54" s="311">
        <v>3976</v>
      </c>
      <c r="O54" s="311"/>
      <c r="Q54" s="245">
        <v>10</v>
      </c>
      <c r="R54" s="30">
        <v>0</v>
      </c>
      <c r="S54" s="5">
        <v>3975</v>
      </c>
      <c r="T54" s="5">
        <v>3975</v>
      </c>
      <c r="U54" s="15">
        <f t="shared" si="3"/>
        <v>0</v>
      </c>
      <c r="V54" s="313">
        <f t="shared" si="7"/>
        <v>1</v>
      </c>
      <c r="W54" s="245">
        <v>6089</v>
      </c>
      <c r="X54" s="312"/>
      <c r="Y54" s="313"/>
      <c r="Z54" s="114">
        <f t="shared" si="2"/>
        <v>120</v>
      </c>
    </row>
    <row r="55" spans="1:26" s="245" customFormat="1" x14ac:dyDescent="0.25">
      <c r="A55" s="97" t="s">
        <v>960</v>
      </c>
      <c r="B55" s="97" t="s">
        <v>961</v>
      </c>
      <c r="C55" s="97"/>
      <c r="D55" s="97"/>
      <c r="E55" s="97"/>
      <c r="F55" s="97" t="s">
        <v>847</v>
      </c>
      <c r="G55" s="132" t="str">
        <f t="shared" si="6"/>
        <v>13/1/2005</v>
      </c>
      <c r="H55" s="133">
        <v>13</v>
      </c>
      <c r="I55" s="133">
        <v>1</v>
      </c>
      <c r="J55" s="134">
        <v>2005</v>
      </c>
      <c r="K55" s="97" t="s">
        <v>56</v>
      </c>
      <c r="L55" s="97">
        <v>2591</v>
      </c>
      <c r="M55" s="97" t="s">
        <v>796</v>
      </c>
      <c r="N55" s="311">
        <v>8537.6</v>
      </c>
      <c r="O55" s="311"/>
      <c r="Q55" s="245">
        <v>10</v>
      </c>
      <c r="R55" s="30">
        <v>0</v>
      </c>
      <c r="S55" s="5">
        <v>8536.6</v>
      </c>
      <c r="T55" s="5">
        <v>8536.6</v>
      </c>
      <c r="U55" s="15">
        <f t="shared" si="3"/>
        <v>0</v>
      </c>
      <c r="V55" s="313">
        <f t="shared" si="7"/>
        <v>1</v>
      </c>
      <c r="W55" s="245">
        <v>5603</v>
      </c>
      <c r="X55" s="312"/>
      <c r="Y55" s="313"/>
      <c r="Z55" s="114">
        <f t="shared" si="2"/>
        <v>120</v>
      </c>
    </row>
    <row r="56" spans="1:26" s="245" customFormat="1" x14ac:dyDescent="0.25">
      <c r="A56" s="97" t="s">
        <v>962</v>
      </c>
      <c r="B56" s="97" t="str">
        <f>+B47</f>
        <v>Archivo de 2 Gvtas. 8 1/2 x 13</v>
      </c>
      <c r="C56" s="97"/>
      <c r="D56" s="97"/>
      <c r="E56" s="97"/>
      <c r="F56" s="97" t="s">
        <v>821</v>
      </c>
      <c r="G56" s="132" t="str">
        <f t="shared" si="6"/>
        <v>29/11/2002</v>
      </c>
      <c r="H56" s="133">
        <v>29</v>
      </c>
      <c r="I56" s="133">
        <v>11</v>
      </c>
      <c r="J56" s="134">
        <v>2002</v>
      </c>
      <c r="K56" s="97" t="s">
        <v>56</v>
      </c>
      <c r="L56" s="97">
        <v>5737</v>
      </c>
      <c r="M56" s="97" t="s">
        <v>796</v>
      </c>
      <c r="N56" s="311">
        <v>1882</v>
      </c>
      <c r="O56" s="311"/>
      <c r="Q56" s="245">
        <v>10</v>
      </c>
      <c r="R56" s="30">
        <v>0</v>
      </c>
      <c r="S56" s="5">
        <v>1880.9999999999998</v>
      </c>
      <c r="T56" s="5">
        <v>1880.9999999999998</v>
      </c>
      <c r="U56" s="15">
        <f t="shared" si="3"/>
        <v>0</v>
      </c>
      <c r="V56" s="313">
        <f t="shared" si="7"/>
        <v>1.0000000000002274</v>
      </c>
      <c r="W56" s="245">
        <v>1118</v>
      </c>
      <c r="X56" s="312"/>
      <c r="Y56" s="313"/>
      <c r="Z56" s="114">
        <f t="shared" si="2"/>
        <v>120</v>
      </c>
    </row>
    <row r="57" spans="1:26" s="245" customFormat="1" x14ac:dyDescent="0.25">
      <c r="A57" s="97" t="s">
        <v>963</v>
      </c>
      <c r="B57" s="97" t="s">
        <v>964</v>
      </c>
      <c r="C57" s="97"/>
      <c r="D57" s="97"/>
      <c r="E57" s="97"/>
      <c r="F57" s="97"/>
      <c r="G57" s="132" t="str">
        <f t="shared" si="6"/>
        <v>31/12/2003</v>
      </c>
      <c r="H57" s="133">
        <v>31</v>
      </c>
      <c r="I57" s="133">
        <v>12</v>
      </c>
      <c r="J57" s="134">
        <v>2003</v>
      </c>
      <c r="K57" s="97"/>
      <c r="L57" s="97"/>
      <c r="M57" s="97" t="s">
        <v>796</v>
      </c>
      <c r="N57" s="311">
        <v>1</v>
      </c>
      <c r="O57" s="311" t="s">
        <v>965</v>
      </c>
      <c r="Q57" s="245">
        <v>10</v>
      </c>
      <c r="R57" s="30">
        <f t="shared" si="4"/>
        <v>0</v>
      </c>
      <c r="S57" s="5">
        <v>0</v>
      </c>
      <c r="T57" s="313">
        <f t="shared" ref="T50:T68" si="8">Z57*R57</f>
        <v>0</v>
      </c>
      <c r="U57" s="15">
        <f t="shared" si="3"/>
        <v>0</v>
      </c>
      <c r="V57" s="313">
        <f t="shared" si="7"/>
        <v>1</v>
      </c>
      <c r="X57" s="312"/>
      <c r="Y57" s="313"/>
      <c r="Z57" s="114">
        <f t="shared" si="2"/>
        <v>120</v>
      </c>
    </row>
    <row r="58" spans="1:26" s="318" customFormat="1" x14ac:dyDescent="0.25">
      <c r="A58" s="97" t="s">
        <v>966</v>
      </c>
      <c r="B58" s="97" t="s">
        <v>967</v>
      </c>
      <c r="C58" s="97"/>
      <c r="D58" s="97"/>
      <c r="E58" s="97"/>
      <c r="F58" s="97" t="s">
        <v>865</v>
      </c>
      <c r="G58" s="132" t="str">
        <f t="shared" si="6"/>
        <v>13/1/2004</v>
      </c>
      <c r="H58" s="133">
        <v>13</v>
      </c>
      <c r="I58" s="133">
        <v>1</v>
      </c>
      <c r="J58" s="134">
        <v>2004</v>
      </c>
      <c r="K58" s="97" t="s">
        <v>56</v>
      </c>
      <c r="L58" s="97">
        <v>32314</v>
      </c>
      <c r="M58" s="97" t="s">
        <v>796</v>
      </c>
      <c r="N58" s="311">
        <v>2487.65</v>
      </c>
      <c r="O58" s="311" t="s">
        <v>965</v>
      </c>
      <c r="P58" s="245"/>
      <c r="Q58" s="245">
        <v>10</v>
      </c>
      <c r="R58" s="30">
        <v>0</v>
      </c>
      <c r="S58" s="5">
        <v>2486.65</v>
      </c>
      <c r="T58" s="5">
        <v>2486.65</v>
      </c>
      <c r="U58" s="15">
        <f t="shared" si="3"/>
        <v>0</v>
      </c>
      <c r="V58" s="313">
        <f t="shared" si="7"/>
        <v>1</v>
      </c>
      <c r="W58" s="245">
        <v>2885</v>
      </c>
      <c r="X58" s="312"/>
      <c r="Y58" s="313"/>
      <c r="Z58" s="114">
        <f t="shared" si="2"/>
        <v>120</v>
      </c>
    </row>
    <row r="59" spans="1:26" s="245" customFormat="1" x14ac:dyDescent="0.25">
      <c r="A59" s="97" t="s">
        <v>968</v>
      </c>
      <c r="B59" s="97" t="str">
        <f>+B57</f>
        <v>Archivo de 2 gavetas, color gris, 8 1/2 x 13</v>
      </c>
      <c r="C59" s="97"/>
      <c r="D59" s="97"/>
      <c r="E59" s="97"/>
      <c r="F59" s="97" t="s">
        <v>865</v>
      </c>
      <c r="G59" s="132" t="str">
        <f t="shared" si="6"/>
        <v>13/1/2004</v>
      </c>
      <c r="H59" s="133">
        <v>13</v>
      </c>
      <c r="I59" s="133">
        <v>1</v>
      </c>
      <c r="J59" s="134">
        <v>2004</v>
      </c>
      <c r="K59" s="97" t="s">
        <v>56</v>
      </c>
      <c r="L59" s="97">
        <v>32314</v>
      </c>
      <c r="M59" s="97" t="s">
        <v>796</v>
      </c>
      <c r="N59" s="311">
        <v>2487.65</v>
      </c>
      <c r="O59" s="311" t="s">
        <v>941</v>
      </c>
      <c r="Q59" s="245">
        <v>10</v>
      </c>
      <c r="R59" s="30">
        <v>0</v>
      </c>
      <c r="S59" s="5">
        <v>2486.65</v>
      </c>
      <c r="T59" s="5">
        <v>2486.65</v>
      </c>
      <c r="U59" s="15">
        <f t="shared" si="3"/>
        <v>0</v>
      </c>
      <c r="V59" s="313">
        <f t="shared" si="7"/>
        <v>1</v>
      </c>
      <c r="W59" s="245">
        <v>2885</v>
      </c>
      <c r="X59" s="312"/>
      <c r="Y59" s="313"/>
      <c r="Z59" s="114">
        <f t="shared" si="2"/>
        <v>120</v>
      </c>
    </row>
    <row r="60" spans="1:26" s="318" customFormat="1" x14ac:dyDescent="0.25">
      <c r="A60" s="148" t="s">
        <v>969</v>
      </c>
      <c r="B60" s="148" t="s">
        <v>852</v>
      </c>
      <c r="C60" s="148"/>
      <c r="D60" s="148"/>
      <c r="E60" s="148"/>
      <c r="F60" s="148" t="s">
        <v>847</v>
      </c>
      <c r="G60" s="149" t="str">
        <f t="shared" si="6"/>
        <v>24/4/2003</v>
      </c>
      <c r="H60" s="150">
        <v>24</v>
      </c>
      <c r="I60" s="150">
        <v>4</v>
      </c>
      <c r="J60" s="151">
        <v>2003</v>
      </c>
      <c r="K60" s="148" t="s">
        <v>56</v>
      </c>
      <c r="L60" s="148">
        <v>5190</v>
      </c>
      <c r="M60" s="148" t="s">
        <v>796</v>
      </c>
      <c r="N60" s="317">
        <v>2912</v>
      </c>
      <c r="O60" s="317" t="s">
        <v>970</v>
      </c>
      <c r="Q60" s="318">
        <v>10</v>
      </c>
      <c r="R60" s="30">
        <v>0</v>
      </c>
      <c r="S60" s="554">
        <v>2911.0000000000005</v>
      </c>
      <c r="T60" s="554">
        <v>2911.0000000000005</v>
      </c>
      <c r="U60" s="555">
        <f t="shared" si="3"/>
        <v>0</v>
      </c>
      <c r="V60" s="319">
        <f t="shared" si="7"/>
        <v>0.99999999999954525</v>
      </c>
      <c r="W60" s="318">
        <v>1258</v>
      </c>
      <c r="X60" s="320"/>
      <c r="Y60" s="319"/>
      <c r="Z60" s="155">
        <f t="shared" si="2"/>
        <v>120</v>
      </c>
    </row>
    <row r="61" spans="1:26" s="245" customFormat="1" x14ac:dyDescent="0.25">
      <c r="A61" s="97" t="s">
        <v>971</v>
      </c>
      <c r="B61" s="97" t="s">
        <v>972</v>
      </c>
      <c r="C61" s="97"/>
      <c r="D61" s="97" t="s">
        <v>973</v>
      </c>
      <c r="E61" s="97"/>
      <c r="F61" s="97" t="s">
        <v>847</v>
      </c>
      <c r="G61" s="132" t="str">
        <f t="shared" si="6"/>
        <v>20/5/2004</v>
      </c>
      <c r="H61" s="133">
        <v>20</v>
      </c>
      <c r="I61" s="133">
        <v>5</v>
      </c>
      <c r="J61" s="134">
        <v>2004</v>
      </c>
      <c r="K61" s="97" t="s">
        <v>56</v>
      </c>
      <c r="L61" s="97">
        <v>5615</v>
      </c>
      <c r="M61" s="97" t="s">
        <v>796</v>
      </c>
      <c r="N61" s="311">
        <v>3506.25</v>
      </c>
      <c r="O61" s="311" t="s">
        <v>974</v>
      </c>
      <c r="Q61" s="245">
        <v>10</v>
      </c>
      <c r="R61" s="30">
        <v>0</v>
      </c>
      <c r="S61" s="5">
        <v>3505.2499999999995</v>
      </c>
      <c r="T61" s="5">
        <v>3505.2499999999995</v>
      </c>
      <c r="U61" s="15">
        <f t="shared" si="3"/>
        <v>0</v>
      </c>
      <c r="V61" s="313">
        <f t="shared" si="7"/>
        <v>1.0000000000004547</v>
      </c>
      <c r="W61" s="245">
        <v>3890</v>
      </c>
      <c r="X61" s="312"/>
      <c r="Y61" s="313"/>
      <c r="Z61" s="114">
        <f t="shared" si="2"/>
        <v>120</v>
      </c>
    </row>
    <row r="62" spans="1:26" s="245" customFormat="1" x14ac:dyDescent="0.25">
      <c r="A62" s="97" t="s">
        <v>975</v>
      </c>
      <c r="B62" s="97" t="s">
        <v>956</v>
      </c>
      <c r="C62" s="97"/>
      <c r="D62" s="97"/>
      <c r="E62" s="97"/>
      <c r="F62" s="97" t="s">
        <v>821</v>
      </c>
      <c r="G62" s="132" t="str">
        <f t="shared" si="6"/>
        <v>6/11/2003</v>
      </c>
      <c r="H62" s="133">
        <v>6</v>
      </c>
      <c r="I62" s="133">
        <v>11</v>
      </c>
      <c r="J62" s="134">
        <v>2003</v>
      </c>
      <c r="K62" s="97" t="s">
        <v>56</v>
      </c>
      <c r="L62" s="97">
        <v>6502</v>
      </c>
      <c r="M62" s="97" t="s">
        <v>796</v>
      </c>
      <c r="N62" s="311">
        <v>3905</v>
      </c>
      <c r="O62" s="311" t="s">
        <v>976</v>
      </c>
      <c r="Q62" s="245">
        <v>10</v>
      </c>
      <c r="R62" s="30">
        <v>0</v>
      </c>
      <c r="S62" s="5">
        <v>3904</v>
      </c>
      <c r="T62" s="5">
        <v>3904</v>
      </c>
      <c r="U62" s="15">
        <f t="shared" si="3"/>
        <v>0</v>
      </c>
      <c r="V62" s="313">
        <f t="shared" si="7"/>
        <v>1</v>
      </c>
      <c r="W62" s="245">
        <v>1559</v>
      </c>
      <c r="X62" s="312"/>
      <c r="Y62" s="313"/>
      <c r="Z62" s="137">
        <f t="shared" si="2"/>
        <v>120</v>
      </c>
    </row>
    <row r="63" spans="1:26" s="245" customFormat="1" x14ac:dyDescent="0.25">
      <c r="A63" s="97" t="s">
        <v>977</v>
      </c>
      <c r="B63" s="97" t="str">
        <f>+B62</f>
        <v>Sillón Victoria C/B, Ajust, color negro</v>
      </c>
      <c r="C63" s="97"/>
      <c r="D63" s="97"/>
      <c r="E63" s="97"/>
      <c r="F63" s="97" t="str">
        <f>+F62</f>
        <v>Dominicana de Oficina, S.A.</v>
      </c>
      <c r="G63" s="132" t="str">
        <f t="shared" si="6"/>
        <v>6/11/2003</v>
      </c>
      <c r="H63" s="133">
        <v>6</v>
      </c>
      <c r="I63" s="133">
        <v>11</v>
      </c>
      <c r="J63" s="134">
        <v>2003</v>
      </c>
      <c r="K63" s="97" t="s">
        <v>56</v>
      </c>
      <c r="L63" s="97">
        <v>6502</v>
      </c>
      <c r="M63" s="97" t="s">
        <v>796</v>
      </c>
      <c r="N63" s="311">
        <v>3905</v>
      </c>
      <c r="O63" s="311"/>
      <c r="Q63" s="245">
        <v>10</v>
      </c>
      <c r="R63" s="30">
        <v>0</v>
      </c>
      <c r="S63" s="5">
        <v>3904</v>
      </c>
      <c r="T63" s="5">
        <v>3904</v>
      </c>
      <c r="U63" s="15">
        <f t="shared" si="3"/>
        <v>0</v>
      </c>
      <c r="V63" s="313">
        <f t="shared" si="7"/>
        <v>1</v>
      </c>
      <c r="W63" s="245">
        <v>1559</v>
      </c>
      <c r="X63" s="312"/>
      <c r="Y63" s="313"/>
      <c r="Z63" s="114">
        <f t="shared" si="2"/>
        <v>120</v>
      </c>
    </row>
    <row r="64" spans="1:26" s="245" customFormat="1" x14ac:dyDescent="0.25">
      <c r="A64" s="97" t="s">
        <v>978</v>
      </c>
      <c r="B64" s="97" t="s">
        <v>912</v>
      </c>
      <c r="C64" s="97"/>
      <c r="D64" s="97" t="s">
        <v>979</v>
      </c>
      <c r="E64" s="97"/>
      <c r="F64" s="97" t="s">
        <v>914</v>
      </c>
      <c r="G64" s="132" t="str">
        <f t="shared" si="6"/>
        <v>21/11/2003</v>
      </c>
      <c r="H64" s="133">
        <v>21</v>
      </c>
      <c r="I64" s="133">
        <v>11</v>
      </c>
      <c r="J64" s="134">
        <v>2003</v>
      </c>
      <c r="K64" s="97" t="s">
        <v>56</v>
      </c>
      <c r="L64" s="97">
        <v>13675</v>
      </c>
      <c r="M64" s="97" t="s">
        <v>796</v>
      </c>
      <c r="N64" s="311">
        <v>4475.0600000000004</v>
      </c>
      <c r="O64" s="311"/>
      <c r="Q64" s="245">
        <v>10</v>
      </c>
      <c r="R64" s="30">
        <v>0</v>
      </c>
      <c r="S64" s="5">
        <v>4474.0600000000013</v>
      </c>
      <c r="T64" s="5">
        <v>4474.0600000000013</v>
      </c>
      <c r="U64" s="15">
        <f t="shared" si="3"/>
        <v>0</v>
      </c>
      <c r="V64" s="313">
        <f t="shared" si="7"/>
        <v>0.99999999999909051</v>
      </c>
      <c r="W64" s="245">
        <v>2459</v>
      </c>
      <c r="X64" s="312"/>
      <c r="Y64" s="313"/>
      <c r="Z64" s="114">
        <f t="shared" si="2"/>
        <v>120</v>
      </c>
    </row>
    <row r="65" spans="1:26" s="245" customFormat="1" x14ac:dyDescent="0.25">
      <c r="A65" s="97" t="s">
        <v>980</v>
      </c>
      <c r="B65" s="97" t="s">
        <v>912</v>
      </c>
      <c r="C65" s="97"/>
      <c r="D65" s="97" t="s">
        <v>923</v>
      </c>
      <c r="E65" s="97"/>
      <c r="F65" s="97" t="s">
        <v>914</v>
      </c>
      <c r="G65" s="132" t="str">
        <f t="shared" si="6"/>
        <v>21/11/2003</v>
      </c>
      <c r="H65" s="133">
        <v>21</v>
      </c>
      <c r="I65" s="133">
        <v>11</v>
      </c>
      <c r="J65" s="134">
        <v>2003</v>
      </c>
      <c r="K65" s="97" t="s">
        <v>56</v>
      </c>
      <c r="L65" s="97">
        <v>13675</v>
      </c>
      <c r="M65" s="97" t="s">
        <v>796</v>
      </c>
      <c r="N65" s="311">
        <v>4475.12</v>
      </c>
      <c r="O65" s="311"/>
      <c r="Q65" s="245">
        <v>10</v>
      </c>
      <c r="R65" s="30">
        <v>0</v>
      </c>
      <c r="S65" s="5">
        <v>4474.12</v>
      </c>
      <c r="T65" s="5">
        <v>4474.12</v>
      </c>
      <c r="U65" s="15">
        <f t="shared" si="3"/>
        <v>0</v>
      </c>
      <c r="V65" s="313">
        <f t="shared" si="7"/>
        <v>1</v>
      </c>
      <c r="W65" s="245">
        <v>2459</v>
      </c>
      <c r="X65" s="312"/>
      <c r="Y65" s="313"/>
      <c r="Z65" s="114">
        <f t="shared" si="2"/>
        <v>120</v>
      </c>
    </row>
    <row r="66" spans="1:26" s="245" customFormat="1" x14ac:dyDescent="0.25">
      <c r="A66" s="97" t="s">
        <v>981</v>
      </c>
      <c r="B66" s="97" t="s">
        <v>912</v>
      </c>
      <c r="C66" s="97"/>
      <c r="D66" s="97" t="s">
        <v>923</v>
      </c>
      <c r="E66" s="97"/>
      <c r="F66" s="97" t="s">
        <v>914</v>
      </c>
      <c r="G66" s="132" t="str">
        <f t="shared" si="6"/>
        <v>21/11/2003</v>
      </c>
      <c r="H66" s="133">
        <v>21</v>
      </c>
      <c r="I66" s="133">
        <v>11</v>
      </c>
      <c r="J66" s="134">
        <v>2003</v>
      </c>
      <c r="K66" s="97" t="s">
        <v>56</v>
      </c>
      <c r="L66" s="97">
        <v>13675</v>
      </c>
      <c r="M66" s="97" t="s">
        <v>796</v>
      </c>
      <c r="N66" s="311">
        <v>4475.12</v>
      </c>
      <c r="O66" s="311"/>
      <c r="Q66" s="245">
        <v>10</v>
      </c>
      <c r="R66" s="30">
        <v>0</v>
      </c>
      <c r="S66" s="5">
        <v>4474.12</v>
      </c>
      <c r="T66" s="5">
        <v>4474.12</v>
      </c>
      <c r="U66" s="15">
        <f t="shared" si="3"/>
        <v>0</v>
      </c>
      <c r="V66" s="313">
        <f t="shared" si="7"/>
        <v>1</v>
      </c>
      <c r="W66" s="245">
        <v>2459</v>
      </c>
      <c r="X66" s="312"/>
      <c r="Y66" s="313"/>
      <c r="Z66" s="114">
        <f t="shared" si="2"/>
        <v>120</v>
      </c>
    </row>
    <row r="67" spans="1:26" s="245" customFormat="1" x14ac:dyDescent="0.25">
      <c r="A67" s="97" t="s">
        <v>982</v>
      </c>
      <c r="B67" s="97" t="s">
        <v>912</v>
      </c>
      <c r="C67" s="97"/>
      <c r="D67" s="97" t="s">
        <v>923</v>
      </c>
      <c r="E67" s="97"/>
      <c r="F67" s="97" t="s">
        <v>914</v>
      </c>
      <c r="G67" s="132" t="str">
        <f t="shared" si="6"/>
        <v>21/11/2003</v>
      </c>
      <c r="H67" s="133">
        <v>21</v>
      </c>
      <c r="I67" s="133">
        <v>11</v>
      </c>
      <c r="J67" s="134">
        <v>2003</v>
      </c>
      <c r="K67" s="97" t="s">
        <v>56</v>
      </c>
      <c r="L67" s="97">
        <v>13675</v>
      </c>
      <c r="M67" s="97" t="s">
        <v>796</v>
      </c>
      <c r="N67" s="311">
        <v>4475.12</v>
      </c>
      <c r="O67" s="311"/>
      <c r="Q67" s="245">
        <v>10</v>
      </c>
      <c r="R67" s="30">
        <v>0</v>
      </c>
      <c r="S67" s="5">
        <v>4474.12</v>
      </c>
      <c r="T67" s="5">
        <v>4474.12</v>
      </c>
      <c r="U67" s="15">
        <f t="shared" si="3"/>
        <v>0</v>
      </c>
      <c r="V67" s="313">
        <f t="shared" si="7"/>
        <v>1</v>
      </c>
      <c r="W67" s="245">
        <v>2459</v>
      </c>
      <c r="X67" s="312"/>
      <c r="Y67" s="313"/>
      <c r="Z67" s="114">
        <f t="shared" si="2"/>
        <v>120</v>
      </c>
    </row>
    <row r="68" spans="1:26" s="245" customFormat="1" x14ac:dyDescent="0.25">
      <c r="A68" s="97" t="s">
        <v>983</v>
      </c>
      <c r="B68" s="97" t="s">
        <v>912</v>
      </c>
      <c r="C68" s="97"/>
      <c r="D68" s="97" t="s">
        <v>984</v>
      </c>
      <c r="E68" s="97"/>
      <c r="F68" s="97" t="s">
        <v>959</v>
      </c>
      <c r="G68" s="132" t="str">
        <f t="shared" si="6"/>
        <v>4/8/2005</v>
      </c>
      <c r="H68" s="133">
        <v>4</v>
      </c>
      <c r="I68" s="133">
        <v>8</v>
      </c>
      <c r="J68" s="134">
        <v>2005</v>
      </c>
      <c r="K68" s="97" t="s">
        <v>931</v>
      </c>
      <c r="L68" s="97">
        <v>1323</v>
      </c>
      <c r="M68" s="97" t="s">
        <v>796</v>
      </c>
      <c r="N68" s="311">
        <v>3997</v>
      </c>
      <c r="O68" s="311"/>
      <c r="Q68" s="245">
        <v>10</v>
      </c>
      <c r="R68" s="30">
        <v>0</v>
      </c>
      <c r="S68" s="5">
        <v>3996.0000000000005</v>
      </c>
      <c r="T68" s="5">
        <v>3996.0000000000005</v>
      </c>
      <c r="U68" s="15">
        <f t="shared" si="3"/>
        <v>0</v>
      </c>
      <c r="V68" s="313">
        <f t="shared" si="7"/>
        <v>0.99999999999954525</v>
      </c>
      <c r="W68" s="245">
        <v>6089</v>
      </c>
      <c r="X68" s="312"/>
      <c r="Y68" s="313"/>
      <c r="Z68" s="114">
        <f t="shared" si="2"/>
        <v>120</v>
      </c>
    </row>
    <row r="69" spans="1:26" s="245" customFormat="1" x14ac:dyDescent="0.25">
      <c r="A69" s="97" t="s">
        <v>985</v>
      </c>
      <c r="B69" s="97" t="s">
        <v>945</v>
      </c>
      <c r="C69" s="97"/>
      <c r="D69" s="97"/>
      <c r="E69" s="97"/>
      <c r="F69" s="97"/>
      <c r="G69" s="132" t="str">
        <f t="shared" si="6"/>
        <v>4/8/2005</v>
      </c>
      <c r="H69" s="133">
        <v>4</v>
      </c>
      <c r="I69" s="133">
        <v>8</v>
      </c>
      <c r="J69" s="134">
        <v>2005</v>
      </c>
      <c r="K69" s="97"/>
      <c r="L69" s="97"/>
      <c r="M69" s="97" t="s">
        <v>796</v>
      </c>
      <c r="N69" s="311">
        <v>1</v>
      </c>
      <c r="O69" s="311" t="s">
        <v>986</v>
      </c>
      <c r="Q69" s="245">
        <v>10</v>
      </c>
      <c r="R69" s="30">
        <f t="shared" si="4"/>
        <v>0</v>
      </c>
      <c r="S69" s="5">
        <v>0</v>
      </c>
      <c r="T69" s="313">
        <v>0</v>
      </c>
      <c r="U69" s="15">
        <f t="shared" si="3"/>
        <v>0</v>
      </c>
      <c r="V69" s="313">
        <f t="shared" si="7"/>
        <v>1</v>
      </c>
      <c r="X69" s="312"/>
      <c r="Y69" s="313"/>
      <c r="Z69" s="114">
        <f t="shared" si="2"/>
        <v>120</v>
      </c>
    </row>
    <row r="70" spans="1:26" s="245" customFormat="1" x14ac:dyDescent="0.25">
      <c r="A70" s="97" t="s">
        <v>987</v>
      </c>
      <c r="B70" s="97" t="s">
        <v>988</v>
      </c>
      <c r="C70" s="97"/>
      <c r="D70" s="97"/>
      <c r="E70" s="97"/>
      <c r="F70" s="97" t="s">
        <v>821</v>
      </c>
      <c r="G70" s="132" t="str">
        <f t="shared" si="6"/>
        <v>10/8/2002</v>
      </c>
      <c r="H70" s="133">
        <v>10</v>
      </c>
      <c r="I70" s="133">
        <v>8</v>
      </c>
      <c r="J70" s="134">
        <v>2002</v>
      </c>
      <c r="K70" s="97" t="s">
        <v>56</v>
      </c>
      <c r="L70" s="97">
        <v>5508</v>
      </c>
      <c r="M70" s="97" t="s">
        <v>796</v>
      </c>
      <c r="N70" s="311">
        <v>1800</v>
      </c>
      <c r="O70" s="311"/>
      <c r="Q70" s="245">
        <v>10</v>
      </c>
      <c r="R70" s="30">
        <v>0</v>
      </c>
      <c r="S70" s="5">
        <v>1799</v>
      </c>
      <c r="T70" s="5">
        <v>1799</v>
      </c>
      <c r="U70" s="15">
        <f t="shared" si="3"/>
        <v>0</v>
      </c>
      <c r="V70" s="313">
        <f t="shared" si="7"/>
        <v>1</v>
      </c>
      <c r="W70" s="245">
        <v>877</v>
      </c>
      <c r="X70" s="312"/>
      <c r="Y70" s="313"/>
      <c r="Z70" s="114">
        <f t="shared" si="2"/>
        <v>120</v>
      </c>
    </row>
    <row r="71" spans="1:26" s="245" customFormat="1" x14ac:dyDescent="0.25">
      <c r="A71" s="97" t="s">
        <v>989</v>
      </c>
      <c r="B71" s="97" t="s">
        <v>988</v>
      </c>
      <c r="C71" s="97"/>
      <c r="D71" s="97"/>
      <c r="E71" s="97"/>
      <c r="F71" s="97" t="str">
        <f>+F70</f>
        <v>Dominicana de Oficina, S.A.</v>
      </c>
      <c r="G71" s="132" t="str">
        <f t="shared" si="6"/>
        <v>10/8/2002</v>
      </c>
      <c r="H71" s="133">
        <v>10</v>
      </c>
      <c r="I71" s="133">
        <v>8</v>
      </c>
      <c r="J71" s="134">
        <v>2002</v>
      </c>
      <c r="K71" s="97" t="s">
        <v>56</v>
      </c>
      <c r="L71" s="97">
        <v>5508</v>
      </c>
      <c r="M71" s="97" t="s">
        <v>796</v>
      </c>
      <c r="N71" s="311">
        <v>1800</v>
      </c>
      <c r="O71" s="311"/>
      <c r="Q71" s="245">
        <v>10</v>
      </c>
      <c r="R71" s="30">
        <v>0</v>
      </c>
      <c r="S71" s="5">
        <v>1799</v>
      </c>
      <c r="T71" s="5">
        <v>1799</v>
      </c>
      <c r="U71" s="15">
        <f t="shared" si="3"/>
        <v>0</v>
      </c>
      <c r="V71" s="313">
        <f t="shared" ref="V71:V102" si="9">N71-T71</f>
        <v>1</v>
      </c>
      <c r="W71" s="245">
        <v>877</v>
      </c>
      <c r="X71" s="312"/>
      <c r="Y71" s="313"/>
      <c r="Z71" s="114">
        <f t="shared" ref="Z71:Z134" si="10">IF((DATEDIF(G71,Z$4,"m"))&gt;=120,120,(DATEDIF(G71,Z$4,"m")))</f>
        <v>120</v>
      </c>
    </row>
    <row r="72" spans="1:26" s="245" customFormat="1" x14ac:dyDescent="0.25">
      <c r="A72" s="97" t="s">
        <v>990</v>
      </c>
      <c r="B72" s="97" t="s">
        <v>988</v>
      </c>
      <c r="C72" s="97"/>
      <c r="D72" s="97"/>
      <c r="E72" s="97"/>
      <c r="F72" s="97" t="s">
        <v>821</v>
      </c>
      <c r="G72" s="132" t="str">
        <f t="shared" si="6"/>
        <v>10/8/2002</v>
      </c>
      <c r="H72" s="133">
        <v>10</v>
      </c>
      <c r="I72" s="133">
        <v>8</v>
      </c>
      <c r="J72" s="134">
        <v>2002</v>
      </c>
      <c r="K72" s="97" t="s">
        <v>56</v>
      </c>
      <c r="L72" s="97">
        <v>5508</v>
      </c>
      <c r="M72" s="97" t="s">
        <v>796</v>
      </c>
      <c r="N72" s="311">
        <v>1800</v>
      </c>
      <c r="O72" s="311"/>
      <c r="Q72" s="245">
        <v>10</v>
      </c>
      <c r="R72" s="30">
        <v>0</v>
      </c>
      <c r="S72" s="5">
        <v>1799</v>
      </c>
      <c r="T72" s="5">
        <v>1799</v>
      </c>
      <c r="U72" s="15">
        <f t="shared" ref="U72:U135" si="11">T72-S72</f>
        <v>0</v>
      </c>
      <c r="V72" s="313">
        <f t="shared" si="9"/>
        <v>1</v>
      </c>
      <c r="W72" s="245">
        <v>877</v>
      </c>
      <c r="X72" s="312"/>
      <c r="Y72" s="313"/>
      <c r="Z72" s="114">
        <f t="shared" si="10"/>
        <v>120</v>
      </c>
    </row>
    <row r="73" spans="1:26" s="245" customFormat="1" x14ac:dyDescent="0.25">
      <c r="A73" s="97" t="s">
        <v>991</v>
      </c>
      <c r="B73" s="97" t="s">
        <v>992</v>
      </c>
      <c r="C73" s="97"/>
      <c r="D73" s="97"/>
      <c r="E73" s="97"/>
      <c r="F73" s="97" t="s">
        <v>821</v>
      </c>
      <c r="G73" s="132" t="str">
        <f t="shared" si="6"/>
        <v>20/9/2002</v>
      </c>
      <c r="H73" s="133">
        <v>20</v>
      </c>
      <c r="I73" s="133">
        <v>9</v>
      </c>
      <c r="J73" s="134">
        <v>2002</v>
      </c>
      <c r="K73" s="97" t="s">
        <v>56</v>
      </c>
      <c r="L73" s="97">
        <v>5446</v>
      </c>
      <c r="M73" s="97" t="s">
        <v>796</v>
      </c>
      <c r="N73" s="311">
        <v>3064.32</v>
      </c>
      <c r="O73" s="311" t="s">
        <v>976</v>
      </c>
      <c r="Q73" s="245">
        <v>10</v>
      </c>
      <c r="R73" s="30">
        <v>0</v>
      </c>
      <c r="S73" s="5">
        <v>3063.3199999999997</v>
      </c>
      <c r="T73" s="5">
        <v>3063.3199999999997</v>
      </c>
      <c r="U73" s="15">
        <f t="shared" si="11"/>
        <v>0</v>
      </c>
      <c r="V73" s="313">
        <f t="shared" si="9"/>
        <v>1.0000000000004547</v>
      </c>
      <c r="W73" s="245">
        <v>877</v>
      </c>
      <c r="X73" s="312"/>
      <c r="Y73" s="313"/>
      <c r="Z73" s="114">
        <f t="shared" si="10"/>
        <v>120</v>
      </c>
    </row>
    <row r="74" spans="1:26" s="245" customFormat="1" x14ac:dyDescent="0.25">
      <c r="A74" s="97" t="s">
        <v>993</v>
      </c>
      <c r="B74" s="97" t="s">
        <v>988</v>
      </c>
      <c r="C74" s="97"/>
      <c r="D74" s="97" t="s">
        <v>973</v>
      </c>
      <c r="E74" s="97"/>
      <c r="F74" s="97" t="s">
        <v>847</v>
      </c>
      <c r="G74" s="132" t="str">
        <f t="shared" si="6"/>
        <v>20/5/2004</v>
      </c>
      <c r="H74" s="133">
        <v>20</v>
      </c>
      <c r="I74" s="133">
        <v>5</v>
      </c>
      <c r="J74" s="134">
        <v>2004</v>
      </c>
      <c r="K74" s="97" t="s">
        <v>56</v>
      </c>
      <c r="L74" s="97">
        <v>5615</v>
      </c>
      <c r="M74" s="97" t="s">
        <v>796</v>
      </c>
      <c r="N74" s="311">
        <v>3506.25</v>
      </c>
      <c r="O74" s="311" t="s">
        <v>974</v>
      </c>
      <c r="Q74" s="245">
        <v>10</v>
      </c>
      <c r="R74" s="30">
        <v>0</v>
      </c>
      <c r="S74" s="5">
        <v>3505.2499999999995</v>
      </c>
      <c r="T74" s="5">
        <v>3505.2499999999995</v>
      </c>
      <c r="U74" s="15">
        <f t="shared" si="11"/>
        <v>0</v>
      </c>
      <c r="V74" s="313">
        <f t="shared" si="9"/>
        <v>1.0000000000004547</v>
      </c>
      <c r="W74" s="245">
        <v>3890</v>
      </c>
      <c r="X74" s="312"/>
      <c r="Y74" s="313"/>
      <c r="Z74" s="114">
        <f t="shared" si="10"/>
        <v>120</v>
      </c>
    </row>
    <row r="75" spans="1:26" s="245" customFormat="1" x14ac:dyDescent="0.25">
      <c r="A75" s="97" t="s">
        <v>994</v>
      </c>
      <c r="B75" s="97" t="s">
        <v>995</v>
      </c>
      <c r="C75" s="97"/>
      <c r="D75" s="97" t="s">
        <v>996</v>
      </c>
      <c r="E75" s="97"/>
      <c r="F75" s="97" t="s">
        <v>997</v>
      </c>
      <c r="G75" s="132" t="str">
        <f t="shared" si="6"/>
        <v>15/5/2004</v>
      </c>
      <c r="H75" s="133">
        <v>15</v>
      </c>
      <c r="I75" s="133">
        <v>5</v>
      </c>
      <c r="J75" s="134">
        <v>2004</v>
      </c>
      <c r="K75" s="97" t="s">
        <v>56</v>
      </c>
      <c r="L75" s="97">
        <v>5606</v>
      </c>
      <c r="M75" s="97" t="s">
        <v>796</v>
      </c>
      <c r="N75" s="311">
        <v>7905</v>
      </c>
      <c r="O75" s="311" t="s">
        <v>998</v>
      </c>
      <c r="Q75" s="245">
        <v>10</v>
      </c>
      <c r="R75" s="30">
        <v>0</v>
      </c>
      <c r="S75" s="5">
        <v>7903.9999999999991</v>
      </c>
      <c r="T75" s="5">
        <v>7903.9999999999991</v>
      </c>
      <c r="U75" s="15">
        <f t="shared" si="11"/>
        <v>0</v>
      </c>
      <c r="V75" s="313">
        <f t="shared" si="9"/>
        <v>1.0000000000009095</v>
      </c>
      <c r="W75" s="245">
        <v>4076</v>
      </c>
      <c r="X75" s="312"/>
      <c r="Y75" s="313"/>
      <c r="Z75" s="114">
        <f t="shared" si="10"/>
        <v>120</v>
      </c>
    </row>
    <row r="76" spans="1:26" s="245" customFormat="1" x14ac:dyDescent="0.25">
      <c r="A76" s="166" t="s">
        <v>999</v>
      </c>
      <c r="B76" s="166" t="s">
        <v>1000</v>
      </c>
      <c r="C76" s="166"/>
      <c r="D76" s="166"/>
      <c r="E76" s="166"/>
      <c r="F76" s="166" t="s">
        <v>937</v>
      </c>
      <c r="G76" s="167" t="str">
        <f t="shared" si="6"/>
        <v>2/6/2004</v>
      </c>
      <c r="H76" s="168">
        <v>2</v>
      </c>
      <c r="I76" s="168">
        <v>6</v>
      </c>
      <c r="J76" s="169">
        <v>2004</v>
      </c>
      <c r="K76" s="166" t="s">
        <v>931</v>
      </c>
      <c r="L76" s="166">
        <v>841</v>
      </c>
      <c r="M76" s="166" t="s">
        <v>796</v>
      </c>
      <c r="N76" s="329">
        <v>900</v>
      </c>
      <c r="O76" s="311" t="s">
        <v>951</v>
      </c>
      <c r="Q76" s="330">
        <v>10</v>
      </c>
      <c r="R76" s="30">
        <v>0</v>
      </c>
      <c r="S76" s="5">
        <v>899</v>
      </c>
      <c r="T76" s="5">
        <v>899</v>
      </c>
      <c r="U76" s="15">
        <f t="shared" si="11"/>
        <v>0</v>
      </c>
      <c r="V76" s="331">
        <f t="shared" si="9"/>
        <v>1</v>
      </c>
      <c r="W76" s="330">
        <v>3169</v>
      </c>
      <c r="X76" s="332"/>
      <c r="Y76" s="331"/>
      <c r="Z76" s="171">
        <f t="shared" si="10"/>
        <v>120</v>
      </c>
    </row>
    <row r="77" spans="1:26" s="245" customFormat="1" x14ac:dyDescent="0.25">
      <c r="A77" s="166" t="s">
        <v>1001</v>
      </c>
      <c r="B77" s="166" t="s">
        <v>1000</v>
      </c>
      <c r="C77" s="166"/>
      <c r="D77" s="166"/>
      <c r="E77" s="166"/>
      <c r="F77" s="166" t="s">
        <v>937</v>
      </c>
      <c r="G77" s="167" t="str">
        <f t="shared" si="6"/>
        <v>2/6/2004</v>
      </c>
      <c r="H77" s="168">
        <v>2</v>
      </c>
      <c r="I77" s="168">
        <v>6</v>
      </c>
      <c r="J77" s="169">
        <v>2004</v>
      </c>
      <c r="K77" s="166" t="s">
        <v>931</v>
      </c>
      <c r="L77" s="166">
        <v>841</v>
      </c>
      <c r="M77" s="166" t="s">
        <v>796</v>
      </c>
      <c r="N77" s="329">
        <v>900</v>
      </c>
      <c r="O77" s="311" t="s">
        <v>1002</v>
      </c>
      <c r="Q77" s="330">
        <v>10</v>
      </c>
      <c r="R77" s="30">
        <v>0</v>
      </c>
      <c r="S77" s="5">
        <v>899</v>
      </c>
      <c r="T77" s="5">
        <v>899</v>
      </c>
      <c r="U77" s="15">
        <f t="shared" si="11"/>
        <v>0</v>
      </c>
      <c r="V77" s="331">
        <f t="shared" si="9"/>
        <v>1</v>
      </c>
      <c r="W77" s="330">
        <v>3169</v>
      </c>
      <c r="X77" s="332"/>
      <c r="Y77" s="331"/>
      <c r="Z77" s="171">
        <f t="shared" si="10"/>
        <v>120</v>
      </c>
    </row>
    <row r="78" spans="1:26" s="245" customFormat="1" x14ac:dyDescent="0.25">
      <c r="A78" s="97" t="s">
        <v>1003</v>
      </c>
      <c r="B78" s="97" t="s">
        <v>1004</v>
      </c>
      <c r="C78" s="97"/>
      <c r="D78" s="97" t="s">
        <v>1005</v>
      </c>
      <c r="E78" s="97"/>
      <c r="F78" s="97" t="s">
        <v>1006</v>
      </c>
      <c r="G78" s="132" t="str">
        <f t="shared" si="6"/>
        <v>2/2/2005</v>
      </c>
      <c r="H78" s="133">
        <v>2</v>
      </c>
      <c r="I78" s="133">
        <v>2</v>
      </c>
      <c r="J78" s="134">
        <v>2005</v>
      </c>
      <c r="K78" s="97" t="s">
        <v>56</v>
      </c>
      <c r="L78" s="97">
        <v>6053</v>
      </c>
      <c r="M78" s="97" t="s">
        <v>796</v>
      </c>
      <c r="N78" s="311">
        <v>4105</v>
      </c>
      <c r="O78" s="311"/>
      <c r="Q78" s="245">
        <v>10</v>
      </c>
      <c r="R78" s="30">
        <v>0</v>
      </c>
      <c r="S78" s="5">
        <v>4103.9999999999991</v>
      </c>
      <c r="T78" s="5">
        <v>4103.9999999999991</v>
      </c>
      <c r="U78" s="15">
        <f t="shared" si="11"/>
        <v>0</v>
      </c>
      <c r="V78" s="313">
        <f t="shared" si="9"/>
        <v>1.0000000000009095</v>
      </c>
      <c r="W78" s="245">
        <v>5561</v>
      </c>
      <c r="X78" s="312"/>
      <c r="Y78" s="313"/>
      <c r="Z78" s="114">
        <f t="shared" si="10"/>
        <v>120</v>
      </c>
    </row>
    <row r="79" spans="1:26" s="245" customFormat="1" x14ac:dyDescent="0.25">
      <c r="A79" s="97" t="s">
        <v>1007</v>
      </c>
      <c r="B79" s="97" t="str">
        <f>+B80</f>
        <v>Archivo de 2 gavetas, color crema, 8 1/2 x 13</v>
      </c>
      <c r="C79" s="97"/>
      <c r="D79" s="97"/>
      <c r="E79" s="97"/>
      <c r="F79" s="97" t="s">
        <v>821</v>
      </c>
      <c r="G79" s="132" t="str">
        <f t="shared" si="6"/>
        <v>30/10/2002</v>
      </c>
      <c r="H79" s="133">
        <v>30</v>
      </c>
      <c r="I79" s="133">
        <v>10</v>
      </c>
      <c r="J79" s="134">
        <v>2002</v>
      </c>
      <c r="K79" s="97" t="s">
        <v>56</v>
      </c>
      <c r="L79" s="97">
        <v>5602</v>
      </c>
      <c r="M79" s="97" t="s">
        <v>796</v>
      </c>
      <c r="N79" s="311">
        <v>1880</v>
      </c>
      <c r="O79" s="311" t="s">
        <v>1008</v>
      </c>
      <c r="Q79" s="245">
        <v>10</v>
      </c>
      <c r="R79" s="30">
        <v>0</v>
      </c>
      <c r="S79" s="5">
        <v>1879</v>
      </c>
      <c r="T79" s="5">
        <v>1879</v>
      </c>
      <c r="U79" s="15">
        <f t="shared" si="11"/>
        <v>0</v>
      </c>
      <c r="V79" s="313">
        <f t="shared" si="9"/>
        <v>1</v>
      </c>
      <c r="W79" s="245">
        <v>929</v>
      </c>
      <c r="X79" s="312"/>
      <c r="Y79" s="313"/>
      <c r="Z79" s="114">
        <f t="shared" si="10"/>
        <v>120</v>
      </c>
    </row>
    <row r="80" spans="1:26" s="245" customFormat="1" x14ac:dyDescent="0.25">
      <c r="A80" s="97" t="s">
        <v>1009</v>
      </c>
      <c r="B80" s="97" t="s">
        <v>1010</v>
      </c>
      <c r="C80" s="97"/>
      <c r="D80" s="97"/>
      <c r="E80" s="97"/>
      <c r="F80" s="97" t="s">
        <v>821</v>
      </c>
      <c r="G80" s="132" t="str">
        <f t="shared" si="6"/>
        <v>30/10/2002</v>
      </c>
      <c r="H80" s="133">
        <v>30</v>
      </c>
      <c r="I80" s="133">
        <v>10</v>
      </c>
      <c r="J80" s="134">
        <v>2002</v>
      </c>
      <c r="K80" s="97" t="s">
        <v>56</v>
      </c>
      <c r="L80" s="97">
        <v>5602</v>
      </c>
      <c r="M80" s="97" t="s">
        <v>796</v>
      </c>
      <c r="N80" s="311">
        <v>1880</v>
      </c>
      <c r="O80" s="311" t="s">
        <v>1008</v>
      </c>
      <c r="Q80" s="245">
        <v>10</v>
      </c>
      <c r="R80" s="30">
        <v>0</v>
      </c>
      <c r="S80" s="5">
        <v>1879</v>
      </c>
      <c r="T80" s="5">
        <v>1879</v>
      </c>
      <c r="U80" s="15">
        <f t="shared" si="11"/>
        <v>0</v>
      </c>
      <c r="V80" s="313">
        <f t="shared" si="9"/>
        <v>1</v>
      </c>
      <c r="W80" s="245">
        <v>929</v>
      </c>
      <c r="X80" s="312"/>
      <c r="Y80" s="313"/>
      <c r="Z80" s="114">
        <f t="shared" si="10"/>
        <v>120</v>
      </c>
    </row>
    <row r="81" spans="1:26" s="334" customFormat="1" x14ac:dyDescent="0.25">
      <c r="A81" s="172" t="s">
        <v>1011</v>
      </c>
      <c r="B81" s="172" t="s">
        <v>1012</v>
      </c>
      <c r="C81" s="172"/>
      <c r="D81" s="172" t="s">
        <v>1013</v>
      </c>
      <c r="E81" s="172"/>
      <c r="F81" s="172"/>
      <c r="G81" s="173" t="str">
        <f t="shared" si="6"/>
        <v>30/10/2002</v>
      </c>
      <c r="H81" s="174">
        <v>30</v>
      </c>
      <c r="I81" s="174">
        <v>10</v>
      </c>
      <c r="J81" s="175">
        <v>2002</v>
      </c>
      <c r="K81" s="172"/>
      <c r="L81" s="172"/>
      <c r="M81" s="97" t="s">
        <v>796</v>
      </c>
      <c r="N81" s="333">
        <v>1</v>
      </c>
      <c r="O81" s="311"/>
      <c r="P81" s="245"/>
      <c r="Q81" s="334">
        <v>10</v>
      </c>
      <c r="R81" s="178">
        <f t="shared" ref="R78:R134" si="12">(((N81)-1)/10)/12</f>
        <v>0</v>
      </c>
      <c r="S81" s="570">
        <v>0</v>
      </c>
      <c r="T81" s="335">
        <v>0</v>
      </c>
      <c r="U81" s="572">
        <f t="shared" si="11"/>
        <v>0</v>
      </c>
      <c r="V81" s="335">
        <f t="shared" si="9"/>
        <v>1</v>
      </c>
      <c r="X81" s="336"/>
      <c r="Y81" s="335"/>
      <c r="Z81" s="640">
        <f t="shared" si="10"/>
        <v>120</v>
      </c>
    </row>
    <row r="82" spans="1:26" s="245" customFormat="1" x14ac:dyDescent="0.25">
      <c r="A82" s="97" t="s">
        <v>1014</v>
      </c>
      <c r="B82" s="97" t="s">
        <v>922</v>
      </c>
      <c r="C82" s="97"/>
      <c r="D82" s="97" t="s">
        <v>1015</v>
      </c>
      <c r="E82" s="97"/>
      <c r="F82" s="97" t="s">
        <v>959</v>
      </c>
      <c r="G82" s="132" t="str">
        <f t="shared" si="6"/>
        <v>5/6/2005</v>
      </c>
      <c r="H82" s="133">
        <v>5</v>
      </c>
      <c r="I82" s="133">
        <v>6</v>
      </c>
      <c r="J82" s="134">
        <v>2005</v>
      </c>
      <c r="K82" s="97" t="s">
        <v>931</v>
      </c>
      <c r="L82" s="97">
        <v>1348</v>
      </c>
      <c r="M82" s="97" t="s">
        <v>796</v>
      </c>
      <c r="N82" s="311">
        <v>3997</v>
      </c>
      <c r="O82" s="311"/>
      <c r="Q82" s="245">
        <v>10</v>
      </c>
      <c r="R82" s="30">
        <v>0</v>
      </c>
      <c r="S82" s="5">
        <v>3996.0000000000005</v>
      </c>
      <c r="T82" s="5">
        <v>3996.0000000000005</v>
      </c>
      <c r="U82" s="15">
        <f t="shared" si="11"/>
        <v>0</v>
      </c>
      <c r="V82" s="313">
        <f t="shared" si="9"/>
        <v>0.99999999999954525</v>
      </c>
      <c r="W82" s="245">
        <v>6278</v>
      </c>
      <c r="X82" s="312"/>
      <c r="Y82" s="313"/>
      <c r="Z82" s="114">
        <f t="shared" si="10"/>
        <v>120</v>
      </c>
    </row>
    <row r="83" spans="1:26" s="245" customFormat="1" x14ac:dyDescent="0.25">
      <c r="A83" s="148" t="s">
        <v>1016</v>
      </c>
      <c r="B83" s="148" t="s">
        <v>1017</v>
      </c>
      <c r="C83" s="148"/>
      <c r="D83" s="148"/>
      <c r="E83" s="148"/>
      <c r="F83" s="148" t="s">
        <v>1018</v>
      </c>
      <c r="G83" s="149" t="str">
        <f t="shared" si="6"/>
        <v>20/9/2002</v>
      </c>
      <c r="H83" s="150">
        <v>20</v>
      </c>
      <c r="I83" s="150">
        <v>9</v>
      </c>
      <c r="J83" s="151">
        <v>2002</v>
      </c>
      <c r="K83" s="148" t="s">
        <v>56</v>
      </c>
      <c r="L83" s="148">
        <v>5446</v>
      </c>
      <c r="M83" s="148" t="s">
        <v>796</v>
      </c>
      <c r="N83" s="317">
        <v>2525</v>
      </c>
      <c r="O83" s="311" t="s">
        <v>1019</v>
      </c>
      <c r="Q83" s="318">
        <v>10</v>
      </c>
      <c r="R83" s="18">
        <v>0</v>
      </c>
      <c r="S83" s="5">
        <v>2524</v>
      </c>
      <c r="T83" s="5">
        <v>2524</v>
      </c>
      <c r="U83" s="15">
        <f t="shared" si="11"/>
        <v>0</v>
      </c>
      <c r="V83" s="319">
        <f t="shared" si="9"/>
        <v>1</v>
      </c>
      <c r="W83" s="318">
        <v>877</v>
      </c>
      <c r="X83" s="320"/>
      <c r="Y83" s="319"/>
      <c r="Z83" s="155">
        <f t="shared" si="10"/>
        <v>120</v>
      </c>
    </row>
    <row r="84" spans="1:26" s="245" customFormat="1" x14ac:dyDescent="0.25">
      <c r="A84" s="97" t="s">
        <v>1020</v>
      </c>
      <c r="B84" s="97" t="s">
        <v>1021</v>
      </c>
      <c r="C84" s="97"/>
      <c r="D84" s="97" t="s">
        <v>1022</v>
      </c>
      <c r="E84" s="97"/>
      <c r="F84" s="97"/>
      <c r="G84" s="132" t="str">
        <f t="shared" si="6"/>
        <v>20/9/2002</v>
      </c>
      <c r="H84" s="150">
        <v>20</v>
      </c>
      <c r="I84" s="150">
        <v>9</v>
      </c>
      <c r="J84" s="151">
        <v>2002</v>
      </c>
      <c r="K84" s="97"/>
      <c r="L84" s="97"/>
      <c r="M84" s="97" t="s">
        <v>796</v>
      </c>
      <c r="N84" s="311">
        <v>1</v>
      </c>
      <c r="O84" s="311"/>
      <c r="Q84" s="245">
        <v>10</v>
      </c>
      <c r="R84" s="30">
        <f t="shared" si="12"/>
        <v>0</v>
      </c>
      <c r="S84" s="5">
        <v>0</v>
      </c>
      <c r="T84" s="5">
        <v>0</v>
      </c>
      <c r="U84" s="15">
        <f t="shared" si="11"/>
        <v>0</v>
      </c>
      <c r="V84" s="313">
        <f t="shared" si="9"/>
        <v>1</v>
      </c>
      <c r="X84" s="312"/>
      <c r="Y84" s="313"/>
      <c r="Z84" s="114">
        <f t="shared" si="10"/>
        <v>120</v>
      </c>
    </row>
    <row r="85" spans="1:26" s="245" customFormat="1" x14ac:dyDescent="0.25">
      <c r="A85" s="97" t="s">
        <v>1023</v>
      </c>
      <c r="B85" s="97" t="s">
        <v>1024</v>
      </c>
      <c r="C85" s="97" t="s">
        <v>1025</v>
      </c>
      <c r="D85" s="97" t="s">
        <v>1026</v>
      </c>
      <c r="E85" s="97"/>
      <c r="F85" s="97"/>
      <c r="G85" s="132" t="str">
        <f t="shared" si="6"/>
        <v>20/9/2002</v>
      </c>
      <c r="H85" s="150">
        <v>20</v>
      </c>
      <c r="I85" s="150">
        <v>9</v>
      </c>
      <c r="J85" s="151">
        <v>2002</v>
      </c>
      <c r="K85" s="97"/>
      <c r="L85" s="97"/>
      <c r="M85" s="97" t="s">
        <v>796</v>
      </c>
      <c r="N85" s="311">
        <v>1</v>
      </c>
      <c r="O85" s="311" t="s">
        <v>1027</v>
      </c>
      <c r="Q85" s="245">
        <v>5</v>
      </c>
      <c r="R85" s="30">
        <f t="shared" si="12"/>
        <v>0</v>
      </c>
      <c r="S85" s="5">
        <v>0</v>
      </c>
      <c r="T85" s="5">
        <v>0</v>
      </c>
      <c r="U85" s="15">
        <f t="shared" si="11"/>
        <v>0</v>
      </c>
      <c r="V85" s="313">
        <f t="shared" si="9"/>
        <v>1</v>
      </c>
      <c r="X85" s="312"/>
      <c r="Y85" s="313"/>
      <c r="Z85" s="114">
        <f t="shared" si="10"/>
        <v>120</v>
      </c>
    </row>
    <row r="86" spans="1:26" s="245" customFormat="1" x14ac:dyDescent="0.25">
      <c r="A86" s="97" t="s">
        <v>1028</v>
      </c>
      <c r="B86" s="97" t="s">
        <v>1029</v>
      </c>
      <c r="C86" s="97"/>
      <c r="D86" s="97"/>
      <c r="E86" s="97"/>
      <c r="F86" s="97" t="s">
        <v>838</v>
      </c>
      <c r="G86" s="132" t="str">
        <f t="shared" si="6"/>
        <v>27/5/2003</v>
      </c>
      <c r="H86" s="133">
        <v>27</v>
      </c>
      <c r="I86" s="133">
        <v>5</v>
      </c>
      <c r="J86" s="134">
        <v>2003</v>
      </c>
      <c r="K86" s="97" t="s">
        <v>56</v>
      </c>
      <c r="L86" s="97">
        <v>29026</v>
      </c>
      <c r="M86" s="97" t="s">
        <v>796</v>
      </c>
      <c r="N86" s="311">
        <v>2285</v>
      </c>
      <c r="O86" s="311"/>
      <c r="Q86" s="245">
        <v>10</v>
      </c>
      <c r="R86" s="30">
        <v>0</v>
      </c>
      <c r="S86" s="5">
        <v>2284</v>
      </c>
      <c r="T86" s="5">
        <v>2284</v>
      </c>
      <c r="U86" s="15">
        <f t="shared" si="11"/>
        <v>0</v>
      </c>
      <c r="V86" s="313">
        <f t="shared" si="9"/>
        <v>1</v>
      </c>
      <c r="W86" s="245">
        <v>1361</v>
      </c>
      <c r="X86" s="312"/>
      <c r="Y86" s="313"/>
      <c r="Z86" s="114">
        <f t="shared" si="10"/>
        <v>120</v>
      </c>
    </row>
    <row r="87" spans="1:26" s="334" customFormat="1" x14ac:dyDescent="0.25">
      <c r="A87" s="172" t="s">
        <v>1030</v>
      </c>
      <c r="B87" s="172" t="s">
        <v>1031</v>
      </c>
      <c r="C87" s="172"/>
      <c r="D87" s="172" t="s">
        <v>1032</v>
      </c>
      <c r="E87" s="172"/>
      <c r="F87" s="172" t="s">
        <v>838</v>
      </c>
      <c r="G87" s="173" t="str">
        <f t="shared" si="6"/>
        <v>16/1/2003</v>
      </c>
      <c r="H87" s="174">
        <v>16</v>
      </c>
      <c r="I87" s="174">
        <v>1</v>
      </c>
      <c r="J87" s="175">
        <v>2003</v>
      </c>
      <c r="K87" s="172" t="s">
        <v>56</v>
      </c>
      <c r="L87" s="172">
        <v>26779</v>
      </c>
      <c r="M87" s="97" t="s">
        <v>796</v>
      </c>
      <c r="N87" s="333">
        <v>2046.46</v>
      </c>
      <c r="O87" s="333"/>
      <c r="Q87" s="334">
        <v>10</v>
      </c>
      <c r="R87" s="178">
        <v>0</v>
      </c>
      <c r="S87" s="570">
        <v>2045.46</v>
      </c>
      <c r="T87" s="570">
        <v>2045.46</v>
      </c>
      <c r="U87" s="572">
        <f t="shared" si="11"/>
        <v>0</v>
      </c>
      <c r="V87" s="335">
        <f t="shared" si="9"/>
        <v>1</v>
      </c>
      <c r="W87" s="334">
        <v>913</v>
      </c>
      <c r="X87" s="336"/>
      <c r="Y87" s="335"/>
      <c r="Z87" s="640">
        <f t="shared" si="10"/>
        <v>120</v>
      </c>
    </row>
    <row r="88" spans="1:26" s="245" customFormat="1" x14ac:dyDescent="0.25">
      <c r="A88" s="97" t="s">
        <v>1033</v>
      </c>
      <c r="B88" s="97" t="s">
        <v>1034</v>
      </c>
      <c r="C88" s="97"/>
      <c r="D88" s="97"/>
      <c r="E88" s="97"/>
      <c r="F88" s="97"/>
      <c r="G88" s="132" t="str">
        <f t="shared" si="6"/>
        <v>16/1/2003</v>
      </c>
      <c r="H88" s="133">
        <v>16</v>
      </c>
      <c r="I88" s="133">
        <v>1</v>
      </c>
      <c r="J88" s="134">
        <v>2003</v>
      </c>
      <c r="K88" s="97"/>
      <c r="L88" s="97"/>
      <c r="M88" s="97" t="s">
        <v>796</v>
      </c>
      <c r="N88" s="311">
        <v>1</v>
      </c>
      <c r="O88" s="311"/>
      <c r="Q88" s="245">
        <v>10</v>
      </c>
      <c r="R88" s="30">
        <f t="shared" si="12"/>
        <v>0</v>
      </c>
      <c r="S88" s="5">
        <v>0</v>
      </c>
      <c r="T88" s="5">
        <v>0</v>
      </c>
      <c r="U88" s="15">
        <f t="shared" si="11"/>
        <v>0</v>
      </c>
      <c r="V88" s="313">
        <f t="shared" si="9"/>
        <v>1</v>
      </c>
      <c r="X88" s="312"/>
      <c r="Y88" s="313"/>
      <c r="Z88" s="114">
        <f t="shared" si="10"/>
        <v>120</v>
      </c>
    </row>
    <row r="89" spans="1:26" s="245" customFormat="1" x14ac:dyDescent="0.25">
      <c r="A89" s="138" t="s">
        <v>1035</v>
      </c>
      <c r="B89" s="138" t="s">
        <v>1036</v>
      </c>
      <c r="C89" s="138" t="s">
        <v>1037</v>
      </c>
      <c r="D89" s="138" t="s">
        <v>1038</v>
      </c>
      <c r="E89" s="138" t="s">
        <v>1039</v>
      </c>
      <c r="F89" s="138" t="s">
        <v>1040</v>
      </c>
      <c r="G89" s="181" t="str">
        <f t="shared" si="6"/>
        <v>5/5/2005</v>
      </c>
      <c r="H89" s="182">
        <v>5</v>
      </c>
      <c r="I89" s="182">
        <v>5</v>
      </c>
      <c r="J89" s="183">
        <v>2005</v>
      </c>
      <c r="K89" s="138" t="s">
        <v>931</v>
      </c>
      <c r="L89" s="138">
        <v>1347</v>
      </c>
      <c r="M89" s="138" t="s">
        <v>796</v>
      </c>
      <c r="N89" s="337">
        <v>233906.16</v>
      </c>
      <c r="O89" s="311" t="s">
        <v>1041</v>
      </c>
      <c r="Q89" s="338">
        <v>10</v>
      </c>
      <c r="R89" s="21">
        <v>0</v>
      </c>
      <c r="S89" s="5">
        <v>233905.16</v>
      </c>
      <c r="T89" s="5">
        <v>233905.16</v>
      </c>
      <c r="U89" s="15">
        <f t="shared" si="11"/>
        <v>0</v>
      </c>
      <c r="V89" s="339">
        <f t="shared" si="9"/>
        <v>1</v>
      </c>
      <c r="W89" s="184" t="s">
        <v>1042</v>
      </c>
      <c r="X89" s="340"/>
      <c r="Y89" s="339"/>
      <c r="Z89" s="185">
        <f t="shared" si="10"/>
        <v>120</v>
      </c>
    </row>
    <row r="90" spans="1:26" s="245" customFormat="1" x14ac:dyDescent="0.25">
      <c r="A90" s="97" t="s">
        <v>1043</v>
      </c>
      <c r="B90" s="97" t="s">
        <v>912</v>
      </c>
      <c r="C90" s="97"/>
      <c r="D90" s="97" t="s">
        <v>1044</v>
      </c>
      <c r="E90" s="97"/>
      <c r="F90" s="97" t="s">
        <v>959</v>
      </c>
      <c r="G90" s="132" t="str">
        <f t="shared" si="6"/>
        <v>4/8/2005</v>
      </c>
      <c r="H90" s="133">
        <v>4</v>
      </c>
      <c r="I90" s="133">
        <v>8</v>
      </c>
      <c r="J90" s="134">
        <v>2005</v>
      </c>
      <c r="K90" s="97" t="s">
        <v>931</v>
      </c>
      <c r="L90" s="97">
        <v>1323</v>
      </c>
      <c r="M90" s="97" t="s">
        <v>796</v>
      </c>
      <c r="N90" s="311">
        <v>2986</v>
      </c>
      <c r="O90" s="311"/>
      <c r="Q90" s="245">
        <v>10</v>
      </c>
      <c r="R90" s="30">
        <v>0</v>
      </c>
      <c r="S90" s="5">
        <v>2985</v>
      </c>
      <c r="T90" s="5">
        <v>2985</v>
      </c>
      <c r="U90" s="15">
        <f t="shared" si="11"/>
        <v>0</v>
      </c>
      <c r="V90" s="313">
        <f t="shared" si="9"/>
        <v>1</v>
      </c>
      <c r="W90" s="245">
        <v>6089</v>
      </c>
      <c r="X90" s="312"/>
      <c r="Y90" s="313"/>
      <c r="Z90" s="114">
        <f t="shared" si="10"/>
        <v>120</v>
      </c>
    </row>
    <row r="91" spans="1:26" s="245" customFormat="1" x14ac:dyDescent="0.25">
      <c r="A91" s="97" t="s">
        <v>1045</v>
      </c>
      <c r="B91" s="97" t="s">
        <v>912</v>
      </c>
      <c r="C91" s="97"/>
      <c r="D91" s="97" t="s">
        <v>1046</v>
      </c>
      <c r="E91" s="97"/>
      <c r="F91" s="97" t="s">
        <v>914</v>
      </c>
      <c r="G91" s="132" t="str">
        <f t="shared" si="6"/>
        <v>21/11/2003</v>
      </c>
      <c r="H91" s="133">
        <v>21</v>
      </c>
      <c r="I91" s="133">
        <v>11</v>
      </c>
      <c r="J91" s="134">
        <v>2003</v>
      </c>
      <c r="K91" s="97" t="s">
        <v>56</v>
      </c>
      <c r="L91" s="97">
        <v>13675</v>
      </c>
      <c r="M91" s="97" t="s">
        <v>796</v>
      </c>
      <c r="N91" s="311">
        <v>5985</v>
      </c>
      <c r="O91" s="311"/>
      <c r="Q91" s="245">
        <v>10</v>
      </c>
      <c r="R91" s="30">
        <v>0</v>
      </c>
      <c r="S91" s="5">
        <v>5984</v>
      </c>
      <c r="T91" s="5">
        <v>5984</v>
      </c>
      <c r="U91" s="15">
        <f t="shared" si="11"/>
        <v>0</v>
      </c>
      <c r="V91" s="313">
        <f t="shared" si="9"/>
        <v>1</v>
      </c>
      <c r="W91" s="245">
        <v>2459</v>
      </c>
      <c r="X91" s="312"/>
      <c r="Y91" s="313"/>
      <c r="Z91" s="114">
        <f t="shared" si="10"/>
        <v>120</v>
      </c>
    </row>
    <row r="92" spans="1:26" s="334" customFormat="1" x14ac:dyDescent="0.25">
      <c r="A92" s="172" t="s">
        <v>1047</v>
      </c>
      <c r="B92" s="172" t="s">
        <v>1048</v>
      </c>
      <c r="C92" s="172"/>
      <c r="D92" s="172" t="s">
        <v>1013</v>
      </c>
      <c r="E92" s="172"/>
      <c r="F92" s="172"/>
      <c r="G92" s="173" t="str">
        <f t="shared" si="6"/>
        <v>21/11/2003</v>
      </c>
      <c r="H92" s="174">
        <v>21</v>
      </c>
      <c r="I92" s="174">
        <v>11</v>
      </c>
      <c r="J92" s="175">
        <v>2003</v>
      </c>
      <c r="K92" s="172"/>
      <c r="L92" s="172"/>
      <c r="M92" s="97" t="s">
        <v>796</v>
      </c>
      <c r="N92" s="333">
        <v>1</v>
      </c>
      <c r="O92" s="311"/>
      <c r="P92" s="245"/>
      <c r="Q92" s="334">
        <v>10</v>
      </c>
      <c r="R92" s="178">
        <f t="shared" si="12"/>
        <v>0</v>
      </c>
      <c r="S92" s="570">
        <v>0</v>
      </c>
      <c r="T92" s="570">
        <v>0</v>
      </c>
      <c r="U92" s="572">
        <f t="shared" si="11"/>
        <v>0</v>
      </c>
      <c r="V92" s="335">
        <f t="shared" si="9"/>
        <v>1</v>
      </c>
      <c r="X92" s="336"/>
      <c r="Y92" s="335"/>
      <c r="Z92" s="640">
        <f t="shared" si="10"/>
        <v>120</v>
      </c>
    </row>
    <row r="93" spans="1:26" s="245" customFormat="1" x14ac:dyDescent="0.25">
      <c r="A93" s="97" t="s">
        <v>1049</v>
      </c>
      <c r="B93" s="97" t="s">
        <v>992</v>
      </c>
      <c r="C93" s="97"/>
      <c r="D93" s="97"/>
      <c r="E93" s="97"/>
      <c r="F93" s="97"/>
      <c r="G93" s="132" t="str">
        <f t="shared" si="6"/>
        <v>21/11/2003</v>
      </c>
      <c r="H93" s="133">
        <v>21</v>
      </c>
      <c r="I93" s="133">
        <v>11</v>
      </c>
      <c r="J93" s="134">
        <v>2003</v>
      </c>
      <c r="K93" s="97"/>
      <c r="L93" s="97"/>
      <c r="M93" s="97" t="s">
        <v>796</v>
      </c>
      <c r="N93" s="311">
        <v>1</v>
      </c>
      <c r="O93" s="311"/>
      <c r="Q93" s="245">
        <v>10</v>
      </c>
      <c r="R93" s="30">
        <f t="shared" si="12"/>
        <v>0</v>
      </c>
      <c r="S93" s="5">
        <v>0</v>
      </c>
      <c r="T93" s="5">
        <v>0</v>
      </c>
      <c r="U93" s="15">
        <f t="shared" si="11"/>
        <v>0</v>
      </c>
      <c r="V93" s="313">
        <f t="shared" si="9"/>
        <v>1</v>
      </c>
      <c r="X93" s="312"/>
      <c r="Y93" s="313"/>
      <c r="Z93" s="114">
        <f t="shared" si="10"/>
        <v>120</v>
      </c>
    </row>
    <row r="94" spans="1:26" s="245" customFormat="1" x14ac:dyDescent="0.25">
      <c r="A94" s="148" t="s">
        <v>1050</v>
      </c>
      <c r="B94" s="148" t="s">
        <v>1051</v>
      </c>
      <c r="C94" s="148"/>
      <c r="D94" s="148"/>
      <c r="E94" s="148"/>
      <c r="F94" s="148"/>
      <c r="G94" s="149" t="str">
        <f t="shared" ref="G94:G157" si="13">CONCATENATE(H94,"/",I94,"/",J94,)</f>
        <v>21/11/2003</v>
      </c>
      <c r="H94" s="133">
        <v>21</v>
      </c>
      <c r="I94" s="133">
        <v>11</v>
      </c>
      <c r="J94" s="134">
        <v>2003</v>
      </c>
      <c r="K94" s="148"/>
      <c r="L94" s="148"/>
      <c r="M94" s="148" t="s">
        <v>796</v>
      </c>
      <c r="N94" s="317">
        <v>1</v>
      </c>
      <c r="O94" s="311"/>
      <c r="Q94" s="318">
        <v>10</v>
      </c>
      <c r="R94" s="18">
        <f t="shared" si="12"/>
        <v>0</v>
      </c>
      <c r="S94" s="5">
        <v>0</v>
      </c>
      <c r="T94" s="5">
        <v>0</v>
      </c>
      <c r="U94" s="15">
        <f t="shared" si="11"/>
        <v>0</v>
      </c>
      <c r="V94" s="319">
        <f t="shared" si="9"/>
        <v>1</v>
      </c>
      <c r="W94" s="318"/>
      <c r="X94" s="320"/>
      <c r="Y94" s="319"/>
      <c r="Z94" s="155">
        <f t="shared" si="10"/>
        <v>120</v>
      </c>
    </row>
    <row r="95" spans="1:26" s="245" customFormat="1" x14ac:dyDescent="0.25">
      <c r="A95" s="148" t="s">
        <v>1052</v>
      </c>
      <c r="B95" s="148" t="s">
        <v>1051</v>
      </c>
      <c r="C95" s="148"/>
      <c r="D95" s="148"/>
      <c r="E95" s="148"/>
      <c r="F95" s="148"/>
      <c r="G95" s="149" t="str">
        <f t="shared" si="13"/>
        <v>21/11/2003</v>
      </c>
      <c r="H95" s="133">
        <v>21</v>
      </c>
      <c r="I95" s="133">
        <v>11</v>
      </c>
      <c r="J95" s="134">
        <v>2003</v>
      </c>
      <c r="K95" s="148"/>
      <c r="L95" s="148"/>
      <c r="M95" s="148" t="s">
        <v>796</v>
      </c>
      <c r="N95" s="317">
        <v>1</v>
      </c>
      <c r="O95" s="311"/>
      <c r="Q95" s="318">
        <v>10</v>
      </c>
      <c r="R95" s="18">
        <f t="shared" si="12"/>
        <v>0</v>
      </c>
      <c r="S95" s="5">
        <v>0</v>
      </c>
      <c r="T95" s="5">
        <v>0</v>
      </c>
      <c r="U95" s="15">
        <f t="shared" si="11"/>
        <v>0</v>
      </c>
      <c r="V95" s="319">
        <f t="shared" si="9"/>
        <v>1</v>
      </c>
      <c r="W95" s="318"/>
      <c r="X95" s="320"/>
      <c r="Y95" s="319"/>
      <c r="Z95" s="155">
        <f t="shared" si="10"/>
        <v>120</v>
      </c>
    </row>
    <row r="96" spans="1:26" s="245" customFormat="1" x14ac:dyDescent="0.25">
      <c r="A96" s="97" t="s">
        <v>1053</v>
      </c>
      <c r="B96" s="97" t="s">
        <v>922</v>
      </c>
      <c r="C96" s="97"/>
      <c r="D96" s="97" t="s">
        <v>1054</v>
      </c>
      <c r="E96" s="97"/>
      <c r="F96" s="97" t="s">
        <v>959</v>
      </c>
      <c r="G96" s="132" t="str">
        <f t="shared" si="13"/>
        <v>4/8/2005</v>
      </c>
      <c r="H96" s="133">
        <v>4</v>
      </c>
      <c r="I96" s="133">
        <v>8</v>
      </c>
      <c r="J96" s="134">
        <v>2005</v>
      </c>
      <c r="K96" s="97" t="s">
        <v>931</v>
      </c>
      <c r="L96" s="97">
        <v>1323</v>
      </c>
      <c r="M96" s="97" t="s">
        <v>796</v>
      </c>
      <c r="N96" s="311">
        <v>2986</v>
      </c>
      <c r="O96" s="311"/>
      <c r="Q96" s="245">
        <v>10</v>
      </c>
      <c r="R96" s="30">
        <v>0</v>
      </c>
      <c r="S96" s="5">
        <v>2985</v>
      </c>
      <c r="T96" s="5">
        <v>2985</v>
      </c>
      <c r="U96" s="15">
        <f t="shared" si="11"/>
        <v>0</v>
      </c>
      <c r="V96" s="313">
        <f t="shared" si="9"/>
        <v>1</v>
      </c>
      <c r="W96" s="245">
        <v>6089</v>
      </c>
      <c r="X96" s="312"/>
      <c r="Y96" s="313"/>
      <c r="Z96" s="114">
        <f t="shared" si="10"/>
        <v>120</v>
      </c>
    </row>
    <row r="97" spans="1:26" s="245" customFormat="1" x14ac:dyDescent="0.25">
      <c r="A97" s="97" t="s">
        <v>1055</v>
      </c>
      <c r="B97" s="97" t="s">
        <v>1056</v>
      </c>
      <c r="C97" s="97" t="s">
        <v>1057</v>
      </c>
      <c r="D97" s="97" t="s">
        <v>1058</v>
      </c>
      <c r="E97" s="97"/>
      <c r="F97" s="97" t="s">
        <v>821</v>
      </c>
      <c r="G97" s="132" t="str">
        <f t="shared" si="13"/>
        <v>6/6/2003</v>
      </c>
      <c r="H97" s="133">
        <v>6</v>
      </c>
      <c r="I97" s="133">
        <v>6</v>
      </c>
      <c r="J97" s="134">
        <v>2003</v>
      </c>
      <c r="K97" s="97" t="s">
        <v>56</v>
      </c>
      <c r="L97" s="97">
        <v>6476</v>
      </c>
      <c r="M97" s="97" t="s">
        <v>796</v>
      </c>
      <c r="N97" s="311">
        <v>4605</v>
      </c>
      <c r="O97" s="311"/>
      <c r="Q97" s="245">
        <v>10</v>
      </c>
      <c r="R97" s="30">
        <v>0</v>
      </c>
      <c r="S97" s="5">
        <v>4604</v>
      </c>
      <c r="T97" s="5">
        <v>4604</v>
      </c>
      <c r="U97" s="15">
        <f t="shared" si="11"/>
        <v>0</v>
      </c>
      <c r="V97" s="313">
        <f t="shared" si="9"/>
        <v>1</v>
      </c>
      <c r="W97" s="245">
        <v>1559</v>
      </c>
      <c r="X97" s="312"/>
      <c r="Y97" s="313"/>
      <c r="Z97" s="114">
        <f t="shared" si="10"/>
        <v>120</v>
      </c>
    </row>
    <row r="98" spans="1:26" s="245" customFormat="1" x14ac:dyDescent="0.25">
      <c r="A98" s="97" t="s">
        <v>1059</v>
      </c>
      <c r="B98" s="97" t="s">
        <v>1060</v>
      </c>
      <c r="C98" s="97"/>
      <c r="D98" s="97" t="s">
        <v>1061</v>
      </c>
      <c r="E98" s="97"/>
      <c r="F98" s="97"/>
      <c r="G98" s="132" t="str">
        <f t="shared" si="13"/>
        <v>6/6/2003</v>
      </c>
      <c r="H98" s="133">
        <v>6</v>
      </c>
      <c r="I98" s="133">
        <v>6</v>
      </c>
      <c r="J98" s="134">
        <v>2003</v>
      </c>
      <c r="K98" s="97"/>
      <c r="L98" s="97"/>
      <c r="M98" s="97" t="s">
        <v>796</v>
      </c>
      <c r="N98" s="186">
        <v>1</v>
      </c>
      <c r="O98" s="186"/>
      <c r="Q98" s="245">
        <v>10</v>
      </c>
      <c r="R98" s="30">
        <f t="shared" si="12"/>
        <v>0</v>
      </c>
      <c r="S98" s="5">
        <v>0</v>
      </c>
      <c r="T98" s="313">
        <v>0</v>
      </c>
      <c r="U98" s="15">
        <f t="shared" si="11"/>
        <v>0</v>
      </c>
      <c r="V98" s="313">
        <f t="shared" si="9"/>
        <v>1</v>
      </c>
      <c r="X98" s="312"/>
      <c r="Y98" s="313"/>
      <c r="Z98" s="114">
        <f t="shared" si="10"/>
        <v>120</v>
      </c>
    </row>
    <row r="99" spans="1:26" s="245" customFormat="1" x14ac:dyDescent="0.25">
      <c r="A99" s="97" t="s">
        <v>1062</v>
      </c>
      <c r="B99" s="97" t="s">
        <v>1063</v>
      </c>
      <c r="C99" s="97"/>
      <c r="D99" s="97" t="s">
        <v>1064</v>
      </c>
      <c r="E99" s="97"/>
      <c r="F99" s="97"/>
      <c r="G99" s="132" t="str">
        <f t="shared" si="13"/>
        <v>6/6/2003</v>
      </c>
      <c r="H99" s="133">
        <v>6</v>
      </c>
      <c r="I99" s="133">
        <v>6</v>
      </c>
      <c r="J99" s="134">
        <v>2003</v>
      </c>
      <c r="K99" s="97"/>
      <c r="L99" s="97"/>
      <c r="M99" s="97" t="s">
        <v>796</v>
      </c>
      <c r="N99" s="186">
        <v>1</v>
      </c>
      <c r="O99" s="186"/>
      <c r="Q99" s="245">
        <v>10</v>
      </c>
      <c r="R99" s="30">
        <f t="shared" si="12"/>
        <v>0</v>
      </c>
      <c r="S99" s="5">
        <v>0</v>
      </c>
      <c r="T99" s="313">
        <v>0</v>
      </c>
      <c r="U99" s="15">
        <f t="shared" si="11"/>
        <v>0</v>
      </c>
      <c r="V99" s="313">
        <f t="shared" si="9"/>
        <v>1</v>
      </c>
      <c r="X99" s="312"/>
      <c r="Y99" s="313"/>
      <c r="Z99" s="114">
        <f t="shared" si="10"/>
        <v>120</v>
      </c>
    </row>
    <row r="100" spans="1:26" s="245" customFormat="1" x14ac:dyDescent="0.25">
      <c r="A100" s="97" t="s">
        <v>1065</v>
      </c>
      <c r="B100" s="97" t="s">
        <v>1066</v>
      </c>
      <c r="C100" s="97"/>
      <c r="D100" s="97" t="s">
        <v>1067</v>
      </c>
      <c r="E100" s="97"/>
      <c r="F100" s="97"/>
      <c r="G100" s="132" t="str">
        <f t="shared" si="13"/>
        <v>6/6/2003</v>
      </c>
      <c r="H100" s="133">
        <v>6</v>
      </c>
      <c r="I100" s="133">
        <v>6</v>
      </c>
      <c r="J100" s="134">
        <v>2003</v>
      </c>
      <c r="K100" s="97"/>
      <c r="L100" s="97"/>
      <c r="M100" s="97" t="s">
        <v>796</v>
      </c>
      <c r="N100" s="186">
        <v>1</v>
      </c>
      <c r="O100" s="186"/>
      <c r="Q100" s="245">
        <v>10</v>
      </c>
      <c r="R100" s="30">
        <f t="shared" si="12"/>
        <v>0</v>
      </c>
      <c r="S100" s="5">
        <v>0</v>
      </c>
      <c r="T100" s="313">
        <v>0</v>
      </c>
      <c r="U100" s="15">
        <f t="shared" si="11"/>
        <v>0</v>
      </c>
      <c r="V100" s="313">
        <f t="shared" si="9"/>
        <v>1</v>
      </c>
      <c r="X100" s="312"/>
      <c r="Y100" s="313"/>
      <c r="Z100" s="114">
        <f t="shared" si="10"/>
        <v>120</v>
      </c>
    </row>
    <row r="101" spans="1:26" s="245" customFormat="1" x14ac:dyDescent="0.25">
      <c r="A101" s="97" t="s">
        <v>1068</v>
      </c>
      <c r="B101" s="97" t="s">
        <v>824</v>
      </c>
      <c r="C101" s="97" t="s">
        <v>459</v>
      </c>
      <c r="D101" s="97" t="s">
        <v>861</v>
      </c>
      <c r="E101" s="97" t="s">
        <v>1069</v>
      </c>
      <c r="F101" s="97" t="s">
        <v>821</v>
      </c>
      <c r="G101" s="132" t="str">
        <f t="shared" si="13"/>
        <v>16/5/2003</v>
      </c>
      <c r="H101" s="133">
        <v>16</v>
      </c>
      <c r="I101" s="133">
        <v>5</v>
      </c>
      <c r="J101" s="134">
        <v>2003</v>
      </c>
      <c r="K101" s="97" t="s">
        <v>56</v>
      </c>
      <c r="L101" s="97">
        <v>6412</v>
      </c>
      <c r="M101" s="97" t="s">
        <v>796</v>
      </c>
      <c r="N101" s="186">
        <v>1700</v>
      </c>
      <c r="O101" s="187" t="s">
        <v>1070</v>
      </c>
      <c r="Q101" s="245">
        <v>10</v>
      </c>
      <c r="R101" s="30">
        <v>0</v>
      </c>
      <c r="S101" s="5">
        <v>1699</v>
      </c>
      <c r="T101" s="5">
        <v>1699</v>
      </c>
      <c r="U101" s="15">
        <f t="shared" si="11"/>
        <v>0</v>
      </c>
      <c r="V101" s="313">
        <f t="shared" si="9"/>
        <v>1</v>
      </c>
      <c r="W101" s="245">
        <v>1439</v>
      </c>
      <c r="X101" s="312"/>
      <c r="Y101" s="313"/>
      <c r="Z101" s="114">
        <f t="shared" si="10"/>
        <v>120</v>
      </c>
    </row>
    <row r="102" spans="1:26" s="245" customFormat="1" x14ac:dyDescent="0.25">
      <c r="A102" s="97" t="s">
        <v>1071</v>
      </c>
      <c r="B102" s="97" t="s">
        <v>912</v>
      </c>
      <c r="C102" s="97"/>
      <c r="D102" s="97" t="s">
        <v>1072</v>
      </c>
      <c r="E102" s="97"/>
      <c r="F102" s="97" t="s">
        <v>914</v>
      </c>
      <c r="G102" s="132" t="str">
        <f t="shared" si="13"/>
        <v>21/11/2003</v>
      </c>
      <c r="H102" s="133">
        <v>21</v>
      </c>
      <c r="I102" s="133">
        <v>11</v>
      </c>
      <c r="J102" s="134">
        <v>2003</v>
      </c>
      <c r="K102" s="97" t="s">
        <v>56</v>
      </c>
      <c r="L102" s="97">
        <v>13675</v>
      </c>
      <c r="M102" s="97" t="s">
        <v>796</v>
      </c>
      <c r="N102" s="186">
        <v>5985</v>
      </c>
      <c r="O102" s="186"/>
      <c r="Q102" s="245">
        <v>10</v>
      </c>
      <c r="R102" s="30">
        <v>0</v>
      </c>
      <c r="S102" s="5">
        <v>5984</v>
      </c>
      <c r="T102" s="5">
        <v>5984</v>
      </c>
      <c r="U102" s="15">
        <f t="shared" si="11"/>
        <v>0</v>
      </c>
      <c r="V102" s="313">
        <f t="shared" si="9"/>
        <v>1</v>
      </c>
      <c r="W102" s="245">
        <v>2459</v>
      </c>
      <c r="X102" s="312"/>
      <c r="Y102" s="313"/>
      <c r="Z102" s="114">
        <f t="shared" si="10"/>
        <v>120</v>
      </c>
    </row>
    <row r="103" spans="1:26" s="245" customFormat="1" x14ac:dyDescent="0.25">
      <c r="A103" s="97" t="s">
        <v>1073</v>
      </c>
      <c r="B103" s="97" t="s">
        <v>912</v>
      </c>
      <c r="C103" s="97"/>
      <c r="D103" s="97" t="s">
        <v>1074</v>
      </c>
      <c r="E103" s="97"/>
      <c r="F103" s="97" t="s">
        <v>914</v>
      </c>
      <c r="G103" s="132" t="str">
        <f t="shared" si="13"/>
        <v>21/11/2003</v>
      </c>
      <c r="H103" s="133">
        <v>21</v>
      </c>
      <c r="I103" s="133">
        <v>11</v>
      </c>
      <c r="J103" s="134">
        <v>2003</v>
      </c>
      <c r="K103" s="97" t="s">
        <v>56</v>
      </c>
      <c r="L103" s="97">
        <v>13675</v>
      </c>
      <c r="M103" s="97" t="s">
        <v>796</v>
      </c>
      <c r="N103" s="186">
        <v>3216.11</v>
      </c>
      <c r="O103" s="186"/>
      <c r="Q103" s="245">
        <v>10</v>
      </c>
      <c r="R103" s="30">
        <v>0</v>
      </c>
      <c r="S103" s="5">
        <v>3215.1100000000006</v>
      </c>
      <c r="T103" s="5">
        <v>3215.1100000000006</v>
      </c>
      <c r="U103" s="15">
        <f t="shared" si="11"/>
        <v>0</v>
      </c>
      <c r="V103" s="313">
        <f t="shared" ref="V103:V134" si="14">N103-T103</f>
        <v>0.99999999999954525</v>
      </c>
      <c r="W103" s="245">
        <v>2459</v>
      </c>
      <c r="X103" s="312"/>
      <c r="Y103" s="313"/>
      <c r="Z103" s="114">
        <f t="shared" si="10"/>
        <v>120</v>
      </c>
    </row>
    <row r="104" spans="1:26" s="245" customFormat="1" x14ac:dyDescent="0.25">
      <c r="A104" s="97" t="s">
        <v>1075</v>
      </c>
      <c r="B104" s="97" t="s">
        <v>912</v>
      </c>
      <c r="C104" s="97"/>
      <c r="D104" s="97" t="s">
        <v>1076</v>
      </c>
      <c r="E104" s="97"/>
      <c r="F104" s="97" t="s">
        <v>914</v>
      </c>
      <c r="G104" s="132" t="str">
        <f t="shared" si="13"/>
        <v>21/11/2003</v>
      </c>
      <c r="H104" s="133">
        <v>21</v>
      </c>
      <c r="I104" s="133">
        <v>11</v>
      </c>
      <c r="J104" s="134">
        <v>2003</v>
      </c>
      <c r="K104" s="97" t="s">
        <v>56</v>
      </c>
      <c r="L104" s="97">
        <v>13675</v>
      </c>
      <c r="M104" s="97" t="s">
        <v>796</v>
      </c>
      <c r="N104" s="186">
        <v>2275.38</v>
      </c>
      <c r="O104" s="186"/>
      <c r="Q104" s="245">
        <v>10</v>
      </c>
      <c r="R104" s="30">
        <v>0</v>
      </c>
      <c r="S104" s="5">
        <v>2274.38</v>
      </c>
      <c r="T104" s="5">
        <v>2274.38</v>
      </c>
      <c r="U104" s="15">
        <f t="shared" si="11"/>
        <v>0</v>
      </c>
      <c r="V104" s="313">
        <f t="shared" si="14"/>
        <v>1</v>
      </c>
      <c r="W104" s="245">
        <v>2459</v>
      </c>
      <c r="X104" s="312"/>
      <c r="Y104" s="313"/>
      <c r="Z104" s="114">
        <f t="shared" si="10"/>
        <v>120</v>
      </c>
    </row>
    <row r="105" spans="1:26" s="245" customFormat="1" x14ac:dyDescent="0.25">
      <c r="A105" s="148" t="s">
        <v>1077</v>
      </c>
      <c r="B105" s="148" t="s">
        <v>1034</v>
      </c>
      <c r="C105" s="148"/>
      <c r="D105" s="148"/>
      <c r="E105" s="148"/>
      <c r="F105" s="148"/>
      <c r="G105" s="149" t="str">
        <f t="shared" si="13"/>
        <v>21/11/2003</v>
      </c>
      <c r="H105" s="133">
        <v>21</v>
      </c>
      <c r="I105" s="133">
        <v>11</v>
      </c>
      <c r="J105" s="134">
        <v>2003</v>
      </c>
      <c r="K105" s="148"/>
      <c r="L105" s="148"/>
      <c r="M105" s="148" t="s">
        <v>796</v>
      </c>
      <c r="N105" s="17">
        <v>1</v>
      </c>
      <c r="O105" s="186"/>
      <c r="Q105" s="318">
        <v>10</v>
      </c>
      <c r="R105" s="30">
        <v>0</v>
      </c>
      <c r="S105" s="5">
        <v>0</v>
      </c>
      <c r="T105" s="319">
        <v>0</v>
      </c>
      <c r="U105" s="15">
        <f t="shared" si="11"/>
        <v>0</v>
      </c>
      <c r="V105" s="319">
        <f t="shared" si="14"/>
        <v>1</v>
      </c>
      <c r="W105" s="318"/>
      <c r="X105" s="320"/>
      <c r="Y105" s="319"/>
      <c r="Z105" s="155">
        <f t="shared" si="10"/>
        <v>120</v>
      </c>
    </row>
    <row r="106" spans="1:26" s="245" customFormat="1" x14ac:dyDescent="0.25">
      <c r="A106" s="172" t="s">
        <v>1078</v>
      </c>
      <c r="B106" s="172" t="s">
        <v>1034</v>
      </c>
      <c r="C106" s="172"/>
      <c r="D106" s="172"/>
      <c r="E106" s="172"/>
      <c r="F106" s="172"/>
      <c r="G106" s="173" t="str">
        <f t="shared" si="13"/>
        <v>21/11/2003</v>
      </c>
      <c r="H106" s="133">
        <v>21</v>
      </c>
      <c r="I106" s="133">
        <v>11</v>
      </c>
      <c r="J106" s="134">
        <v>2003</v>
      </c>
      <c r="K106" s="172"/>
      <c r="L106" s="172"/>
      <c r="M106" s="172" t="s">
        <v>796</v>
      </c>
      <c r="N106" s="188">
        <v>1</v>
      </c>
      <c r="O106" s="186"/>
      <c r="Q106" s="334">
        <v>10</v>
      </c>
      <c r="R106" s="30">
        <v>0</v>
      </c>
      <c r="S106" s="5">
        <v>0</v>
      </c>
      <c r="T106" s="335">
        <v>0</v>
      </c>
      <c r="U106" s="15">
        <f t="shared" si="11"/>
        <v>0</v>
      </c>
      <c r="V106" s="335">
        <f t="shared" si="14"/>
        <v>1</v>
      </c>
      <c r="W106" s="334"/>
      <c r="X106" s="336"/>
      <c r="Y106" s="335"/>
      <c r="Z106" s="180">
        <f t="shared" si="10"/>
        <v>120</v>
      </c>
    </row>
    <row r="107" spans="1:26" s="245" customFormat="1" x14ac:dyDescent="0.25">
      <c r="A107" s="148" t="s">
        <v>1079</v>
      </c>
      <c r="B107" s="148" t="s">
        <v>1080</v>
      </c>
      <c r="C107" s="148" t="s">
        <v>715</v>
      </c>
      <c r="D107" s="148" t="s">
        <v>1081</v>
      </c>
      <c r="E107" s="148" t="s">
        <v>1082</v>
      </c>
      <c r="F107" s="148"/>
      <c r="G107" s="149" t="str">
        <f t="shared" si="13"/>
        <v>21/11/2003</v>
      </c>
      <c r="H107" s="133">
        <v>21</v>
      </c>
      <c r="I107" s="133">
        <v>11</v>
      </c>
      <c r="J107" s="134">
        <v>2003</v>
      </c>
      <c r="K107" s="148"/>
      <c r="L107" s="148"/>
      <c r="M107" s="17" t="s">
        <v>796</v>
      </c>
      <c r="N107" s="318">
        <v>1</v>
      </c>
      <c r="O107" s="30"/>
      <c r="P107" s="5"/>
      <c r="Q107" s="319">
        <v>10</v>
      </c>
      <c r="R107" s="15">
        <v>0</v>
      </c>
      <c r="S107" s="319">
        <v>0</v>
      </c>
      <c r="T107" s="318">
        <v>0</v>
      </c>
      <c r="U107" s="320">
        <f t="shared" si="11"/>
        <v>0</v>
      </c>
      <c r="V107" s="319">
        <f t="shared" si="14"/>
        <v>1</v>
      </c>
      <c r="W107" s="155"/>
      <c r="Z107" s="245">
        <f t="shared" si="10"/>
        <v>120</v>
      </c>
    </row>
    <row r="108" spans="1:26" s="245" customFormat="1" x14ac:dyDescent="0.25">
      <c r="A108" s="97" t="s">
        <v>1083</v>
      </c>
      <c r="B108" s="97" t="s">
        <v>1084</v>
      </c>
      <c r="C108" s="97" t="s">
        <v>1085</v>
      </c>
      <c r="D108" s="97" t="s">
        <v>1086</v>
      </c>
      <c r="E108" s="97"/>
      <c r="F108" s="97"/>
      <c r="G108" s="132" t="str">
        <f t="shared" si="13"/>
        <v>31/12/2003</v>
      </c>
      <c r="H108" s="133">
        <v>31</v>
      </c>
      <c r="I108" s="133">
        <v>12</v>
      </c>
      <c r="J108" s="134">
        <v>2003</v>
      </c>
      <c r="K108" s="97"/>
      <c r="L108" s="97"/>
      <c r="M108" s="97" t="s">
        <v>796</v>
      </c>
      <c r="N108" s="186">
        <v>65590</v>
      </c>
      <c r="O108" s="186"/>
      <c r="Q108" s="245">
        <v>10</v>
      </c>
      <c r="R108" s="30">
        <v>0</v>
      </c>
      <c r="S108" s="5">
        <v>65588.999999999985</v>
      </c>
      <c r="T108" s="5">
        <v>65588.999999999985</v>
      </c>
      <c r="U108" s="15">
        <f t="shared" si="11"/>
        <v>0</v>
      </c>
      <c r="V108" s="313">
        <f t="shared" si="14"/>
        <v>1.0000000000145519</v>
      </c>
      <c r="X108" s="312"/>
      <c r="Y108" s="313"/>
      <c r="Z108" s="114">
        <f t="shared" si="10"/>
        <v>120</v>
      </c>
    </row>
    <row r="109" spans="1:26" s="245" customFormat="1" x14ac:dyDescent="0.25">
      <c r="A109" s="97" t="s">
        <v>1087</v>
      </c>
      <c r="B109" s="97" t="s">
        <v>1088</v>
      </c>
      <c r="C109" s="97" t="s">
        <v>1089</v>
      </c>
      <c r="D109" s="97" t="s">
        <v>1090</v>
      </c>
      <c r="E109" s="97"/>
      <c r="F109" s="97"/>
      <c r="G109" s="132" t="str">
        <f t="shared" si="13"/>
        <v>31/12/2003</v>
      </c>
      <c r="H109" s="133">
        <v>31</v>
      </c>
      <c r="I109" s="133">
        <v>12</v>
      </c>
      <c r="J109" s="134">
        <v>2003</v>
      </c>
      <c r="K109" s="97"/>
      <c r="L109" s="97"/>
      <c r="M109" s="97" t="s">
        <v>796</v>
      </c>
      <c r="N109" s="186">
        <v>14636</v>
      </c>
      <c r="O109" s="186"/>
      <c r="Q109" s="245">
        <v>10</v>
      </c>
      <c r="R109" s="30">
        <v>0</v>
      </c>
      <c r="S109" s="5">
        <v>14635</v>
      </c>
      <c r="T109" s="5">
        <v>14635</v>
      </c>
      <c r="U109" s="15">
        <f t="shared" si="11"/>
        <v>0</v>
      </c>
      <c r="V109" s="313">
        <f t="shared" si="14"/>
        <v>1</v>
      </c>
      <c r="X109" s="312"/>
      <c r="Y109" s="313"/>
      <c r="Z109" s="114">
        <f t="shared" si="10"/>
        <v>120</v>
      </c>
    </row>
    <row r="110" spans="1:26" s="245" customFormat="1" x14ac:dyDescent="0.25">
      <c r="A110" s="97" t="s">
        <v>1091</v>
      </c>
      <c r="B110" s="97" t="s">
        <v>1092</v>
      </c>
      <c r="C110" s="97"/>
      <c r="D110" s="97" t="s">
        <v>1093</v>
      </c>
      <c r="E110" s="97"/>
      <c r="F110" s="97"/>
      <c r="G110" s="132" t="str">
        <f t="shared" si="13"/>
        <v>31/12/2003</v>
      </c>
      <c r="H110" s="133">
        <v>31</v>
      </c>
      <c r="I110" s="133">
        <v>12</v>
      </c>
      <c r="J110" s="134">
        <v>2003</v>
      </c>
      <c r="K110" s="97"/>
      <c r="L110" s="97"/>
      <c r="M110" s="97" t="s">
        <v>796</v>
      </c>
      <c r="N110" s="186">
        <v>4846.95</v>
      </c>
      <c r="O110" s="187" t="s">
        <v>1094</v>
      </c>
      <c r="Q110" s="245">
        <v>10</v>
      </c>
      <c r="R110" s="30">
        <v>0</v>
      </c>
      <c r="S110" s="5">
        <v>4845.95</v>
      </c>
      <c r="T110" s="5">
        <v>4845.95</v>
      </c>
      <c r="U110" s="15">
        <f t="shared" si="11"/>
        <v>0</v>
      </c>
      <c r="V110" s="313">
        <f t="shared" si="14"/>
        <v>1</v>
      </c>
      <c r="X110" s="312"/>
      <c r="Y110" s="313"/>
      <c r="Z110" s="114">
        <f t="shared" si="10"/>
        <v>120</v>
      </c>
    </row>
    <row r="111" spans="1:26" s="245" customFormat="1" x14ac:dyDescent="0.25">
      <c r="A111" s="97" t="s">
        <v>1095</v>
      </c>
      <c r="B111" s="97" t="s">
        <v>1096</v>
      </c>
      <c r="C111" s="97" t="s">
        <v>1097</v>
      </c>
      <c r="D111" s="97" t="s">
        <v>1058</v>
      </c>
      <c r="E111" s="97"/>
      <c r="F111" s="97" t="s">
        <v>821</v>
      </c>
      <c r="G111" s="132" t="str">
        <f t="shared" si="13"/>
        <v>19/5/2003</v>
      </c>
      <c r="H111" s="133">
        <v>19</v>
      </c>
      <c r="I111" s="133">
        <v>5</v>
      </c>
      <c r="J111" s="134">
        <v>2003</v>
      </c>
      <c r="K111" s="97" t="s">
        <v>56</v>
      </c>
      <c r="L111" s="97">
        <v>6476</v>
      </c>
      <c r="M111" s="97" t="s">
        <v>796</v>
      </c>
      <c r="N111" s="186">
        <v>4605</v>
      </c>
      <c r="O111" s="187" t="s">
        <v>998</v>
      </c>
      <c r="Q111" s="245">
        <v>10</v>
      </c>
      <c r="R111" s="30">
        <v>0</v>
      </c>
      <c r="S111" s="5">
        <v>4604</v>
      </c>
      <c r="T111" s="5">
        <v>4604</v>
      </c>
      <c r="U111" s="15">
        <f t="shared" si="11"/>
        <v>0</v>
      </c>
      <c r="V111" s="313">
        <f t="shared" si="14"/>
        <v>1</v>
      </c>
      <c r="W111" s="245">
        <v>1559</v>
      </c>
      <c r="X111" s="312"/>
      <c r="Y111" s="313"/>
      <c r="Z111" s="114">
        <f t="shared" si="10"/>
        <v>120</v>
      </c>
    </row>
    <row r="112" spans="1:26" s="245" customFormat="1" x14ac:dyDescent="0.25">
      <c r="A112" s="97" t="s">
        <v>1098</v>
      </c>
      <c r="B112" s="97" t="s">
        <v>1099</v>
      </c>
      <c r="C112" s="97" t="s">
        <v>1100</v>
      </c>
      <c r="D112" s="97" t="s">
        <v>1101</v>
      </c>
      <c r="E112" s="97" t="s">
        <v>1102</v>
      </c>
      <c r="F112" s="97"/>
      <c r="G112" s="132" t="str">
        <f t="shared" si="13"/>
        <v>19/5/2003</v>
      </c>
      <c r="H112" s="133">
        <v>19</v>
      </c>
      <c r="I112" s="133">
        <v>5</v>
      </c>
      <c r="J112" s="134">
        <v>2003</v>
      </c>
      <c r="K112" s="97"/>
      <c r="L112" s="97"/>
      <c r="M112" s="97" t="s">
        <v>796</v>
      </c>
      <c r="N112" s="186">
        <v>1</v>
      </c>
      <c r="O112" s="187" t="s">
        <v>1094</v>
      </c>
      <c r="Q112" s="245">
        <v>10</v>
      </c>
      <c r="R112" s="30">
        <v>0</v>
      </c>
      <c r="S112" s="5">
        <v>0</v>
      </c>
      <c r="T112" s="5">
        <v>0</v>
      </c>
      <c r="U112" s="15">
        <f t="shared" si="11"/>
        <v>0</v>
      </c>
      <c r="V112" s="313">
        <f t="shared" si="14"/>
        <v>1</v>
      </c>
      <c r="X112" s="312"/>
      <c r="Y112" s="313"/>
      <c r="Z112" s="114">
        <f t="shared" si="10"/>
        <v>120</v>
      </c>
    </row>
    <row r="113" spans="1:26" s="245" customFormat="1" x14ac:dyDescent="0.25">
      <c r="A113" s="97" t="s">
        <v>1103</v>
      </c>
      <c r="B113" s="97" t="s">
        <v>1104</v>
      </c>
      <c r="C113" s="97" t="s">
        <v>1105</v>
      </c>
      <c r="D113" s="97" t="s">
        <v>1106</v>
      </c>
      <c r="E113" s="97"/>
      <c r="F113" s="97" t="s">
        <v>934</v>
      </c>
      <c r="G113" s="132" t="str">
        <f t="shared" si="13"/>
        <v>12/9/2003</v>
      </c>
      <c r="H113" s="133">
        <v>12</v>
      </c>
      <c r="I113" s="133">
        <v>9</v>
      </c>
      <c r="J113" s="134">
        <v>2003</v>
      </c>
      <c r="K113" s="97" t="s">
        <v>56</v>
      </c>
      <c r="L113" s="97">
        <v>814</v>
      </c>
      <c r="M113" s="97" t="s">
        <v>796</v>
      </c>
      <c r="N113" s="186">
        <v>19738.2</v>
      </c>
      <c r="O113" s="186"/>
      <c r="Q113" s="245">
        <v>10</v>
      </c>
      <c r="R113" s="30">
        <v>0</v>
      </c>
      <c r="S113" s="5">
        <v>19737.2</v>
      </c>
      <c r="T113" s="5">
        <v>19737.2</v>
      </c>
      <c r="U113" s="15">
        <f t="shared" si="11"/>
        <v>0</v>
      </c>
      <c r="V113" s="313">
        <f t="shared" si="14"/>
        <v>1</v>
      </c>
      <c r="W113" s="245">
        <v>2711</v>
      </c>
      <c r="X113" s="312"/>
      <c r="Y113" s="313"/>
      <c r="Z113" s="114">
        <f t="shared" si="10"/>
        <v>120</v>
      </c>
    </row>
    <row r="114" spans="1:26" s="245" customFormat="1" x14ac:dyDescent="0.25">
      <c r="A114" s="97" t="s">
        <v>1107</v>
      </c>
      <c r="B114" s="97" t="str">
        <f>+B113</f>
        <v>Librero Alto con 2 Puertas Elysee y Puertas de vidrio</v>
      </c>
      <c r="C114" s="97" t="str">
        <f>+C113</f>
        <v>Elysee</v>
      </c>
      <c r="D114" s="97" t="s">
        <v>1106</v>
      </c>
      <c r="E114" s="97"/>
      <c r="F114" s="97" t="s">
        <v>934</v>
      </c>
      <c r="G114" s="132" t="str">
        <f t="shared" si="13"/>
        <v>12/9/2003</v>
      </c>
      <c r="H114" s="133">
        <v>12</v>
      </c>
      <c r="I114" s="133">
        <v>9</v>
      </c>
      <c r="J114" s="134">
        <v>2003</v>
      </c>
      <c r="K114" s="97" t="s">
        <v>56</v>
      </c>
      <c r="L114" s="97">
        <v>814</v>
      </c>
      <c r="M114" s="97" t="s">
        <v>796</v>
      </c>
      <c r="N114" s="186">
        <v>19738.2</v>
      </c>
      <c r="O114" s="186"/>
      <c r="Q114" s="245">
        <v>10</v>
      </c>
      <c r="R114" s="30">
        <v>0</v>
      </c>
      <c r="S114" s="5">
        <v>19737.2</v>
      </c>
      <c r="T114" s="5">
        <v>19737.2</v>
      </c>
      <c r="U114" s="15">
        <f t="shared" si="11"/>
        <v>0</v>
      </c>
      <c r="V114" s="313">
        <f t="shared" si="14"/>
        <v>1</v>
      </c>
      <c r="W114" s="245">
        <v>2711</v>
      </c>
      <c r="X114" s="312"/>
      <c r="Y114" s="313"/>
      <c r="Z114" s="114">
        <f t="shared" si="10"/>
        <v>120</v>
      </c>
    </row>
    <row r="115" spans="1:26" s="245" customFormat="1" x14ac:dyDescent="0.25">
      <c r="A115" s="148" t="s">
        <v>1108</v>
      </c>
      <c r="B115" s="148" t="s">
        <v>1109</v>
      </c>
      <c r="C115" s="148"/>
      <c r="D115" s="148"/>
      <c r="E115" s="148"/>
      <c r="F115" s="148" t="s">
        <v>1006</v>
      </c>
      <c r="G115" s="149" t="str">
        <f t="shared" si="13"/>
        <v>22/11/2003</v>
      </c>
      <c r="H115" s="150">
        <v>22</v>
      </c>
      <c r="I115" s="150">
        <v>11</v>
      </c>
      <c r="J115" s="151">
        <v>2003</v>
      </c>
      <c r="K115" s="148" t="s">
        <v>56</v>
      </c>
      <c r="L115" s="148" t="s">
        <v>1110</v>
      </c>
      <c r="M115" s="148" t="s">
        <v>796</v>
      </c>
      <c r="N115" s="17">
        <v>16499</v>
      </c>
      <c r="O115" s="187" t="s">
        <v>1111</v>
      </c>
      <c r="Q115" s="318">
        <v>10</v>
      </c>
      <c r="R115" s="30">
        <v>0</v>
      </c>
      <c r="S115" s="5">
        <v>16498</v>
      </c>
      <c r="T115" s="5">
        <v>16498</v>
      </c>
      <c r="U115" s="15">
        <f t="shared" si="11"/>
        <v>0</v>
      </c>
      <c r="V115" s="319">
        <f t="shared" si="14"/>
        <v>1</v>
      </c>
      <c r="W115" s="318">
        <v>2492</v>
      </c>
      <c r="X115" s="320"/>
      <c r="Y115" s="319"/>
      <c r="Z115" s="155">
        <f t="shared" si="10"/>
        <v>120</v>
      </c>
    </row>
    <row r="116" spans="1:26" s="245" customFormat="1" x14ac:dyDescent="0.25">
      <c r="A116" s="97" t="s">
        <v>1112</v>
      </c>
      <c r="B116" s="97" t="s">
        <v>1113</v>
      </c>
      <c r="C116" s="97"/>
      <c r="D116" s="97">
        <v>6251</v>
      </c>
      <c r="E116" s="97"/>
      <c r="F116" s="97" t="s">
        <v>1006</v>
      </c>
      <c r="G116" s="132" t="str">
        <f t="shared" si="13"/>
        <v>17/2/2004</v>
      </c>
      <c r="H116" s="133">
        <v>17</v>
      </c>
      <c r="I116" s="133">
        <v>2</v>
      </c>
      <c r="J116" s="134">
        <v>2004</v>
      </c>
      <c r="K116" s="97" t="s">
        <v>56</v>
      </c>
      <c r="L116" s="97">
        <v>4932</v>
      </c>
      <c r="M116" s="97" t="s">
        <v>796</v>
      </c>
      <c r="N116" s="186">
        <v>36550.080000000002</v>
      </c>
      <c r="O116" s="186"/>
      <c r="Q116" s="245">
        <v>10</v>
      </c>
      <c r="R116" s="30">
        <v>0</v>
      </c>
      <c r="S116" s="5">
        <v>36549.08</v>
      </c>
      <c r="T116" s="5">
        <v>36549.08</v>
      </c>
      <c r="U116" s="15">
        <f t="shared" si="11"/>
        <v>0</v>
      </c>
      <c r="V116" s="313">
        <f t="shared" si="14"/>
        <v>1</v>
      </c>
      <c r="W116" s="245">
        <v>3249</v>
      </c>
      <c r="X116" s="312"/>
      <c r="Y116" s="313"/>
      <c r="Z116" s="114">
        <f t="shared" si="10"/>
        <v>120</v>
      </c>
    </row>
    <row r="117" spans="1:26" s="245" customFormat="1" x14ac:dyDescent="0.25">
      <c r="A117" s="97" t="s">
        <v>1114</v>
      </c>
      <c r="B117" s="97" t="s">
        <v>1115</v>
      </c>
      <c r="C117" s="97"/>
      <c r="D117" s="97" t="s">
        <v>1116</v>
      </c>
      <c r="E117" s="97" t="s">
        <v>1117</v>
      </c>
      <c r="F117" s="97"/>
      <c r="G117" s="132" t="str">
        <f t="shared" si="13"/>
        <v>17/2/2004</v>
      </c>
      <c r="H117" s="133">
        <v>17</v>
      </c>
      <c r="I117" s="133">
        <v>2</v>
      </c>
      <c r="J117" s="134">
        <v>2004</v>
      </c>
      <c r="K117" s="97"/>
      <c r="L117" s="97"/>
      <c r="M117" s="97" t="s">
        <v>796</v>
      </c>
      <c r="N117" s="186">
        <v>1</v>
      </c>
      <c r="O117" s="186"/>
      <c r="Q117" s="245">
        <v>10</v>
      </c>
      <c r="R117" s="30">
        <v>0</v>
      </c>
      <c r="S117" s="5">
        <v>0</v>
      </c>
      <c r="T117" s="5">
        <v>0</v>
      </c>
      <c r="U117" s="15">
        <f t="shared" si="11"/>
        <v>0</v>
      </c>
      <c r="V117" s="313">
        <f t="shared" si="14"/>
        <v>1</v>
      </c>
      <c r="X117" s="312"/>
      <c r="Y117" s="313"/>
      <c r="Z117" s="114">
        <f t="shared" si="10"/>
        <v>120</v>
      </c>
    </row>
    <row r="118" spans="1:26" s="245" customFormat="1" x14ac:dyDescent="0.25">
      <c r="A118" s="97" t="s">
        <v>1118</v>
      </c>
      <c r="B118" s="97" t="s">
        <v>1119</v>
      </c>
      <c r="C118" s="97" t="s">
        <v>1120</v>
      </c>
      <c r="D118" s="97" t="s">
        <v>1121</v>
      </c>
      <c r="E118" s="97" t="s">
        <v>1122</v>
      </c>
      <c r="F118" s="97" t="s">
        <v>884</v>
      </c>
      <c r="G118" s="132" t="str">
        <f t="shared" si="13"/>
        <v>2/11/2004</v>
      </c>
      <c r="H118" s="133">
        <v>2</v>
      </c>
      <c r="I118" s="133">
        <v>11</v>
      </c>
      <c r="J118" s="134">
        <v>2004</v>
      </c>
      <c r="K118" s="97" t="s">
        <v>56</v>
      </c>
      <c r="L118" s="97">
        <v>4785</v>
      </c>
      <c r="M118" s="97" t="s">
        <v>796</v>
      </c>
      <c r="N118" s="186">
        <v>7807</v>
      </c>
      <c r="O118" s="187" t="s">
        <v>1123</v>
      </c>
      <c r="Q118" s="245">
        <v>10</v>
      </c>
      <c r="R118" s="30">
        <v>0</v>
      </c>
      <c r="S118" s="5">
        <v>7806</v>
      </c>
      <c r="T118" s="5">
        <v>7806</v>
      </c>
      <c r="U118" s="15">
        <f t="shared" si="11"/>
        <v>0</v>
      </c>
      <c r="V118" s="313">
        <f t="shared" si="14"/>
        <v>1</v>
      </c>
      <c r="W118" s="245">
        <v>3171</v>
      </c>
      <c r="X118" s="312"/>
      <c r="Y118" s="313"/>
      <c r="Z118" s="114">
        <f t="shared" si="10"/>
        <v>120</v>
      </c>
    </row>
    <row r="119" spans="1:26" s="245" customFormat="1" x14ac:dyDescent="0.25">
      <c r="A119" s="623" t="s">
        <v>1124</v>
      </c>
      <c r="B119" s="623" t="s">
        <v>1125</v>
      </c>
      <c r="C119" s="623" t="s">
        <v>1126</v>
      </c>
      <c r="D119" s="623" t="s">
        <v>1127</v>
      </c>
      <c r="E119" s="623" t="s">
        <v>1128</v>
      </c>
      <c r="F119" s="97"/>
      <c r="G119" s="132" t="str">
        <f t="shared" si="13"/>
        <v>2/11/2004</v>
      </c>
      <c r="H119" s="133">
        <v>2</v>
      </c>
      <c r="I119" s="133">
        <v>11</v>
      </c>
      <c r="J119" s="134">
        <v>2004</v>
      </c>
      <c r="K119" s="97"/>
      <c r="L119" s="97"/>
      <c r="M119" s="97" t="s">
        <v>796</v>
      </c>
      <c r="N119" s="186">
        <v>1</v>
      </c>
      <c r="O119" s="186"/>
      <c r="Q119" s="245">
        <v>10</v>
      </c>
      <c r="R119" s="30">
        <v>0</v>
      </c>
      <c r="S119" s="5">
        <v>0</v>
      </c>
      <c r="T119" s="5">
        <v>0</v>
      </c>
      <c r="U119" s="15">
        <f t="shared" si="11"/>
        <v>0</v>
      </c>
      <c r="V119" s="313">
        <f t="shared" si="14"/>
        <v>1</v>
      </c>
      <c r="X119" s="312"/>
      <c r="Y119" s="313"/>
      <c r="Z119" s="114">
        <f t="shared" si="10"/>
        <v>120</v>
      </c>
    </row>
    <row r="120" spans="1:26" s="245" customFormat="1" x14ac:dyDescent="0.25">
      <c r="A120" s="97" t="s">
        <v>1129</v>
      </c>
      <c r="B120" s="97" t="s">
        <v>1130</v>
      </c>
      <c r="C120" s="97"/>
      <c r="D120" s="97" t="s">
        <v>1131</v>
      </c>
      <c r="E120" s="97"/>
      <c r="F120" s="97" t="s">
        <v>1132</v>
      </c>
      <c r="G120" s="132" t="str">
        <f t="shared" si="13"/>
        <v>12/12/2003</v>
      </c>
      <c r="H120" s="133">
        <v>12</v>
      </c>
      <c r="I120" s="133">
        <v>12</v>
      </c>
      <c r="J120" s="134">
        <v>2003</v>
      </c>
      <c r="K120" s="97" t="s">
        <v>56</v>
      </c>
      <c r="L120" s="97">
        <v>13742</v>
      </c>
      <c r="M120" s="97" t="s">
        <v>796</v>
      </c>
      <c r="N120" s="186">
        <v>5953</v>
      </c>
      <c r="O120" s="186"/>
      <c r="Q120" s="245">
        <v>10</v>
      </c>
      <c r="R120" s="30">
        <v>0</v>
      </c>
      <c r="S120" s="5">
        <v>5952</v>
      </c>
      <c r="T120" s="5">
        <v>5952</v>
      </c>
      <c r="U120" s="15">
        <f t="shared" si="11"/>
        <v>0</v>
      </c>
      <c r="V120" s="313">
        <f t="shared" si="14"/>
        <v>1</v>
      </c>
      <c r="W120" s="245">
        <v>2873</v>
      </c>
      <c r="X120" s="312"/>
      <c r="Y120" s="313"/>
      <c r="Z120" s="114">
        <f t="shared" si="10"/>
        <v>120</v>
      </c>
    </row>
    <row r="121" spans="1:26" s="245" customFormat="1" x14ac:dyDescent="0.25">
      <c r="A121" s="97" t="s">
        <v>1133</v>
      </c>
      <c r="B121" s="97" t="s">
        <v>1130</v>
      </c>
      <c r="C121" s="97"/>
      <c r="D121" s="97" t="s">
        <v>1134</v>
      </c>
      <c r="E121" s="97"/>
      <c r="F121" s="97" t="s">
        <v>1132</v>
      </c>
      <c r="G121" s="132" t="str">
        <f t="shared" si="13"/>
        <v>12/12/2003</v>
      </c>
      <c r="H121" s="133">
        <v>12</v>
      </c>
      <c r="I121" s="133">
        <v>12</v>
      </c>
      <c r="J121" s="134">
        <v>2003</v>
      </c>
      <c r="K121" s="97" t="s">
        <v>56</v>
      </c>
      <c r="L121" s="97">
        <v>13742</v>
      </c>
      <c r="M121" s="97" t="s">
        <v>796</v>
      </c>
      <c r="N121" s="186">
        <v>7938</v>
      </c>
      <c r="O121" s="186"/>
      <c r="Q121" s="245">
        <v>10</v>
      </c>
      <c r="R121" s="30">
        <v>0</v>
      </c>
      <c r="S121" s="5">
        <v>7937</v>
      </c>
      <c r="T121" s="5">
        <v>7937</v>
      </c>
      <c r="U121" s="15">
        <f t="shared" si="11"/>
        <v>0</v>
      </c>
      <c r="V121" s="313">
        <f t="shared" si="14"/>
        <v>1</v>
      </c>
      <c r="W121" s="245">
        <v>2873</v>
      </c>
      <c r="X121" s="312"/>
      <c r="Y121" s="313"/>
      <c r="Z121" s="114">
        <f t="shared" si="10"/>
        <v>120</v>
      </c>
    </row>
    <row r="122" spans="1:26" s="245" customFormat="1" x14ac:dyDescent="0.25">
      <c r="A122" s="97" t="s">
        <v>1135</v>
      </c>
      <c r="B122" s="97" t="s">
        <v>1130</v>
      </c>
      <c r="C122" s="97"/>
      <c r="D122" s="97" t="s">
        <v>1136</v>
      </c>
      <c r="E122" s="97"/>
      <c r="F122" s="97" t="s">
        <v>1132</v>
      </c>
      <c r="G122" s="132" t="str">
        <f t="shared" si="13"/>
        <v>12/12/2003</v>
      </c>
      <c r="H122" s="133">
        <v>12</v>
      </c>
      <c r="I122" s="133">
        <v>12</v>
      </c>
      <c r="J122" s="134">
        <v>2003</v>
      </c>
      <c r="K122" s="97" t="s">
        <v>56</v>
      </c>
      <c r="L122" s="97">
        <v>13742</v>
      </c>
      <c r="M122" s="97" t="s">
        <v>796</v>
      </c>
      <c r="N122" s="186">
        <v>7938</v>
      </c>
      <c r="O122" s="186"/>
      <c r="Q122" s="245">
        <v>10</v>
      </c>
      <c r="R122" s="30">
        <v>0</v>
      </c>
      <c r="S122" s="5">
        <v>7937</v>
      </c>
      <c r="T122" s="5">
        <v>7937</v>
      </c>
      <c r="U122" s="15">
        <f t="shared" si="11"/>
        <v>0</v>
      </c>
      <c r="V122" s="313">
        <f t="shared" si="14"/>
        <v>1</v>
      </c>
      <c r="W122" s="245">
        <v>2873</v>
      </c>
      <c r="X122" s="312"/>
      <c r="Y122" s="313"/>
      <c r="Z122" s="114">
        <f t="shared" si="10"/>
        <v>120</v>
      </c>
    </row>
    <row r="123" spans="1:26" s="245" customFormat="1" x14ac:dyDescent="0.25">
      <c r="A123" s="97" t="s">
        <v>1137</v>
      </c>
      <c r="B123" s="97" t="s">
        <v>1138</v>
      </c>
      <c r="C123" s="97"/>
      <c r="D123" s="97" t="s">
        <v>1139</v>
      </c>
      <c r="E123" s="97"/>
      <c r="F123" s="97" t="s">
        <v>1006</v>
      </c>
      <c r="G123" s="132" t="str">
        <f t="shared" si="13"/>
        <v>25/11/2003</v>
      </c>
      <c r="H123" s="133">
        <v>25</v>
      </c>
      <c r="I123" s="133">
        <v>11</v>
      </c>
      <c r="J123" s="134">
        <v>2003</v>
      </c>
      <c r="K123" s="97" t="s">
        <v>56</v>
      </c>
      <c r="L123" s="97" t="s">
        <v>1140</v>
      </c>
      <c r="M123" s="97" t="s">
        <v>796</v>
      </c>
      <c r="N123" s="186">
        <v>4409.6000000000004</v>
      </c>
      <c r="O123" s="187" t="s">
        <v>1141</v>
      </c>
      <c r="Q123" s="245">
        <v>10</v>
      </c>
      <c r="R123" s="30">
        <v>0</v>
      </c>
      <c r="S123" s="5">
        <v>4408.6000000000004</v>
      </c>
      <c r="T123" s="5">
        <v>4408.6000000000004</v>
      </c>
      <c r="U123" s="15">
        <f t="shared" si="11"/>
        <v>0</v>
      </c>
      <c r="V123" s="313">
        <f t="shared" si="14"/>
        <v>1</v>
      </c>
      <c r="W123" s="245">
        <v>2702</v>
      </c>
      <c r="X123" s="312"/>
      <c r="Y123" s="313"/>
      <c r="Z123" s="114">
        <f t="shared" si="10"/>
        <v>120</v>
      </c>
    </row>
    <row r="124" spans="1:26" s="245" customFormat="1" x14ac:dyDescent="0.25">
      <c r="A124" s="97" t="s">
        <v>1142</v>
      </c>
      <c r="B124" s="97" t="s">
        <v>1143</v>
      </c>
      <c r="C124" s="97"/>
      <c r="D124" s="97"/>
      <c r="E124" s="97"/>
      <c r="F124" s="97"/>
      <c r="G124" s="132" t="str">
        <f t="shared" si="13"/>
        <v>25/11/2003</v>
      </c>
      <c r="H124" s="133">
        <v>25</v>
      </c>
      <c r="I124" s="133">
        <v>11</v>
      </c>
      <c r="J124" s="134">
        <v>2003</v>
      </c>
      <c r="K124" s="97"/>
      <c r="L124" s="97"/>
      <c r="M124" s="97" t="s">
        <v>796</v>
      </c>
      <c r="N124" s="186">
        <v>1</v>
      </c>
      <c r="O124" s="187" t="s">
        <v>1141</v>
      </c>
      <c r="Q124" s="245">
        <v>10</v>
      </c>
      <c r="R124" s="30">
        <v>0</v>
      </c>
      <c r="S124" s="5">
        <v>0</v>
      </c>
      <c r="T124" s="5">
        <v>0</v>
      </c>
      <c r="U124" s="15">
        <f t="shared" si="11"/>
        <v>0</v>
      </c>
      <c r="V124" s="313">
        <f t="shared" si="14"/>
        <v>1</v>
      </c>
      <c r="X124" s="312"/>
      <c r="Y124" s="313"/>
      <c r="Z124" s="114">
        <f t="shared" si="10"/>
        <v>120</v>
      </c>
    </row>
    <row r="125" spans="1:26" s="245" customFormat="1" x14ac:dyDescent="0.25">
      <c r="A125" s="97" t="s">
        <v>1144</v>
      </c>
      <c r="B125" s="97" t="s">
        <v>1143</v>
      </c>
      <c r="C125" s="97"/>
      <c r="D125" s="97"/>
      <c r="E125" s="97"/>
      <c r="F125" s="97"/>
      <c r="G125" s="132" t="str">
        <f t="shared" si="13"/>
        <v>25/11/2003</v>
      </c>
      <c r="H125" s="133">
        <v>25</v>
      </c>
      <c r="I125" s="133">
        <v>11</v>
      </c>
      <c r="J125" s="134">
        <v>2003</v>
      </c>
      <c r="K125" s="97"/>
      <c r="L125" s="97"/>
      <c r="M125" s="97" t="s">
        <v>796</v>
      </c>
      <c r="N125" s="186">
        <v>1</v>
      </c>
      <c r="O125" s="186"/>
      <c r="Q125" s="245">
        <v>10</v>
      </c>
      <c r="R125" s="30">
        <v>0</v>
      </c>
      <c r="S125" s="5">
        <v>0</v>
      </c>
      <c r="T125" s="5">
        <v>0</v>
      </c>
      <c r="U125" s="15">
        <f t="shared" si="11"/>
        <v>0</v>
      </c>
      <c r="V125" s="313">
        <f t="shared" si="14"/>
        <v>1</v>
      </c>
      <c r="X125" s="312"/>
      <c r="Y125" s="313"/>
      <c r="Z125" s="114">
        <f t="shared" si="10"/>
        <v>120</v>
      </c>
    </row>
    <row r="126" spans="1:26" s="245" customFormat="1" x14ac:dyDescent="0.25">
      <c r="A126" s="97" t="s">
        <v>1145</v>
      </c>
      <c r="B126" s="97" t="s">
        <v>1146</v>
      </c>
      <c r="C126" s="97" t="s">
        <v>459</v>
      </c>
      <c r="D126" s="97" t="s">
        <v>861</v>
      </c>
      <c r="E126" s="97" t="s">
        <v>1147</v>
      </c>
      <c r="F126" s="97" t="s">
        <v>1148</v>
      </c>
      <c r="G126" s="132" t="str">
        <f t="shared" si="13"/>
        <v>2/8/2005</v>
      </c>
      <c r="H126" s="133">
        <v>2</v>
      </c>
      <c r="I126" s="133">
        <v>8</v>
      </c>
      <c r="J126" s="134">
        <v>2005</v>
      </c>
      <c r="K126" s="97" t="s">
        <v>56</v>
      </c>
      <c r="L126" s="97">
        <v>23028</v>
      </c>
      <c r="M126" s="97" t="s">
        <v>796</v>
      </c>
      <c r="N126" s="186">
        <v>2100</v>
      </c>
      <c r="O126" s="187" t="s">
        <v>1094</v>
      </c>
      <c r="Q126" s="245">
        <v>10</v>
      </c>
      <c r="R126" s="30">
        <v>0</v>
      </c>
      <c r="S126" s="5">
        <v>2099</v>
      </c>
      <c r="T126" s="5">
        <v>2099</v>
      </c>
      <c r="U126" s="15">
        <f t="shared" si="11"/>
        <v>0</v>
      </c>
      <c r="V126" s="313">
        <f t="shared" si="14"/>
        <v>1</v>
      </c>
      <c r="W126" s="245">
        <v>6961</v>
      </c>
      <c r="X126" s="312"/>
      <c r="Y126" s="313"/>
      <c r="Z126" s="114">
        <f t="shared" si="10"/>
        <v>120</v>
      </c>
    </row>
    <row r="127" spans="1:26" s="245" customFormat="1" x14ac:dyDescent="0.25">
      <c r="A127" s="97" t="s">
        <v>1149</v>
      </c>
      <c r="B127" s="97" t="s">
        <v>1150</v>
      </c>
      <c r="C127" s="97"/>
      <c r="D127" s="97"/>
      <c r="E127" s="97"/>
      <c r="F127" s="97" t="s">
        <v>821</v>
      </c>
      <c r="G127" s="132" t="str">
        <f t="shared" si="13"/>
        <v>6/11/2003</v>
      </c>
      <c r="H127" s="133">
        <v>6</v>
      </c>
      <c r="I127" s="133">
        <v>11</v>
      </c>
      <c r="J127" s="134">
        <v>2003</v>
      </c>
      <c r="K127" s="97" t="s">
        <v>56</v>
      </c>
      <c r="L127" s="97">
        <v>6502</v>
      </c>
      <c r="M127" s="97" t="s">
        <v>796</v>
      </c>
      <c r="N127" s="186">
        <v>3905</v>
      </c>
      <c r="O127" s="186" t="s">
        <v>822</v>
      </c>
      <c r="Q127" s="245">
        <v>10</v>
      </c>
      <c r="R127" s="30">
        <v>0</v>
      </c>
      <c r="S127" s="5">
        <v>3904</v>
      </c>
      <c r="T127" s="5">
        <v>3904</v>
      </c>
      <c r="U127" s="15">
        <f t="shared" si="11"/>
        <v>0</v>
      </c>
      <c r="V127" s="313">
        <f t="shared" si="14"/>
        <v>1</v>
      </c>
      <c r="W127" s="245">
        <v>1559</v>
      </c>
      <c r="X127" s="312"/>
      <c r="Y127" s="313"/>
      <c r="Z127" s="137">
        <f t="shared" si="10"/>
        <v>120</v>
      </c>
    </row>
    <row r="128" spans="1:26" s="245" customFormat="1" x14ac:dyDescent="0.25">
      <c r="A128" s="97" t="s">
        <v>1151</v>
      </c>
      <c r="B128" s="97" t="s">
        <v>912</v>
      </c>
      <c r="C128" s="97"/>
      <c r="D128" s="97" t="s">
        <v>1152</v>
      </c>
      <c r="E128" s="97"/>
      <c r="F128" s="97" t="s">
        <v>1132</v>
      </c>
      <c r="G128" s="132" t="str">
        <f t="shared" si="13"/>
        <v>12/12/2003</v>
      </c>
      <c r="H128" s="133">
        <v>12</v>
      </c>
      <c r="I128" s="133">
        <v>12</v>
      </c>
      <c r="J128" s="134">
        <v>2003</v>
      </c>
      <c r="K128" s="97" t="s">
        <v>56</v>
      </c>
      <c r="L128" s="97">
        <v>13742</v>
      </c>
      <c r="M128" s="97" t="s">
        <v>796</v>
      </c>
      <c r="N128" s="311">
        <v>5953</v>
      </c>
      <c r="O128" s="311"/>
      <c r="Q128" s="245">
        <v>10</v>
      </c>
      <c r="R128" s="30">
        <v>0</v>
      </c>
      <c r="S128" s="5">
        <v>5952</v>
      </c>
      <c r="T128" s="5">
        <v>5952</v>
      </c>
      <c r="U128" s="15">
        <f t="shared" si="11"/>
        <v>0</v>
      </c>
      <c r="V128" s="313">
        <f t="shared" si="14"/>
        <v>1</v>
      </c>
      <c r="W128" s="245">
        <v>2873</v>
      </c>
      <c r="X128" s="312"/>
      <c r="Y128" s="313"/>
      <c r="Z128" s="114">
        <f t="shared" si="10"/>
        <v>120</v>
      </c>
    </row>
    <row r="129" spans="1:26" s="245" customFormat="1" x14ac:dyDescent="0.25">
      <c r="A129" s="97" t="s">
        <v>1153</v>
      </c>
      <c r="B129" s="97" t="s">
        <v>1154</v>
      </c>
      <c r="C129" s="97"/>
      <c r="D129" s="97"/>
      <c r="E129" s="97"/>
      <c r="F129" s="97" t="s">
        <v>847</v>
      </c>
      <c r="G129" s="132" t="str">
        <f t="shared" si="13"/>
        <v>16/12/2003</v>
      </c>
      <c r="H129" s="133">
        <v>16</v>
      </c>
      <c r="I129" s="133">
        <v>12</v>
      </c>
      <c r="J129" s="134">
        <v>2003</v>
      </c>
      <c r="K129" s="97" t="s">
        <v>56</v>
      </c>
      <c r="L129" s="97">
        <v>5463</v>
      </c>
      <c r="M129" s="97" t="s">
        <v>796</v>
      </c>
      <c r="N129" s="311">
        <v>3560</v>
      </c>
      <c r="O129" s="311"/>
      <c r="Q129" s="245">
        <v>10</v>
      </c>
      <c r="R129" s="30">
        <v>0</v>
      </c>
      <c r="S129" s="5">
        <v>3559</v>
      </c>
      <c r="T129" s="5">
        <v>3559</v>
      </c>
      <c r="U129" s="15">
        <f t="shared" si="11"/>
        <v>0</v>
      </c>
      <c r="V129" s="313">
        <f t="shared" si="14"/>
        <v>1</v>
      </c>
      <c r="W129" s="245">
        <v>2894</v>
      </c>
      <c r="X129" s="312"/>
      <c r="Y129" s="313"/>
      <c r="Z129" s="114">
        <f t="shared" si="10"/>
        <v>120</v>
      </c>
    </row>
    <row r="130" spans="1:26" s="245" customFormat="1" x14ac:dyDescent="0.25">
      <c r="A130" s="97" t="s">
        <v>1155</v>
      </c>
      <c r="B130" s="97" t="s">
        <v>1156</v>
      </c>
      <c r="C130" s="97"/>
      <c r="D130" s="97"/>
      <c r="E130" s="97"/>
      <c r="F130" s="97"/>
      <c r="G130" s="132" t="str">
        <f t="shared" si="13"/>
        <v>16/12/2003</v>
      </c>
      <c r="H130" s="133">
        <v>16</v>
      </c>
      <c r="I130" s="133">
        <v>12</v>
      </c>
      <c r="J130" s="134">
        <v>2003</v>
      </c>
      <c r="K130" s="97"/>
      <c r="L130" s="97"/>
      <c r="M130" s="97" t="s">
        <v>796</v>
      </c>
      <c r="N130" s="311">
        <v>1</v>
      </c>
      <c r="O130" s="311"/>
      <c r="Q130" s="245">
        <v>10</v>
      </c>
      <c r="R130" s="30">
        <v>0</v>
      </c>
      <c r="S130" s="5">
        <v>0</v>
      </c>
      <c r="T130" s="5">
        <v>0</v>
      </c>
      <c r="U130" s="15">
        <f t="shared" si="11"/>
        <v>0</v>
      </c>
      <c r="V130" s="313">
        <f t="shared" si="14"/>
        <v>1</v>
      </c>
      <c r="X130" s="312"/>
      <c r="Y130" s="313"/>
      <c r="Z130" s="114">
        <f t="shared" si="10"/>
        <v>120</v>
      </c>
    </row>
    <row r="131" spans="1:26" s="245" customFormat="1" x14ac:dyDescent="0.25">
      <c r="A131" s="189" t="s">
        <v>1157</v>
      </c>
      <c r="B131" s="189" t="s">
        <v>1158</v>
      </c>
      <c r="C131" s="189"/>
      <c r="D131" s="189"/>
      <c r="E131" s="189"/>
      <c r="F131" s="189" t="s">
        <v>847</v>
      </c>
      <c r="G131" s="190" t="str">
        <f t="shared" si="13"/>
        <v>16/12/2003</v>
      </c>
      <c r="H131" s="191">
        <v>16</v>
      </c>
      <c r="I131" s="191">
        <v>12</v>
      </c>
      <c r="J131" s="192">
        <v>2003</v>
      </c>
      <c r="K131" s="189" t="s">
        <v>56</v>
      </c>
      <c r="L131" s="189">
        <v>5463</v>
      </c>
      <c r="M131" s="189" t="s">
        <v>796</v>
      </c>
      <c r="N131" s="341">
        <v>3440</v>
      </c>
      <c r="O131" s="311"/>
      <c r="Q131" s="342">
        <v>10</v>
      </c>
      <c r="R131" s="30">
        <v>0</v>
      </c>
      <c r="S131" s="5">
        <v>3439</v>
      </c>
      <c r="T131" s="5">
        <v>3439</v>
      </c>
      <c r="U131" s="15">
        <f t="shared" si="11"/>
        <v>0</v>
      </c>
      <c r="V131" s="343">
        <f t="shared" si="14"/>
        <v>1</v>
      </c>
      <c r="W131" s="342">
        <v>2894</v>
      </c>
      <c r="X131" s="344"/>
      <c r="Y131" s="343"/>
      <c r="Z131" s="193">
        <f t="shared" si="10"/>
        <v>120</v>
      </c>
    </row>
    <row r="132" spans="1:26" s="245" customFormat="1" x14ac:dyDescent="0.25">
      <c r="A132" s="148" t="s">
        <v>1159</v>
      </c>
      <c r="B132" s="148" t="s">
        <v>1158</v>
      </c>
      <c r="C132" s="148"/>
      <c r="D132" s="148"/>
      <c r="E132" s="148"/>
      <c r="F132" s="148" t="s">
        <v>847</v>
      </c>
      <c r="G132" s="149" t="str">
        <f t="shared" si="13"/>
        <v>16/12/2003</v>
      </c>
      <c r="H132" s="150">
        <v>16</v>
      </c>
      <c r="I132" s="150">
        <v>12</v>
      </c>
      <c r="J132" s="151">
        <v>2003</v>
      </c>
      <c r="K132" s="148" t="s">
        <v>56</v>
      </c>
      <c r="L132" s="148">
        <v>5463</v>
      </c>
      <c r="M132" s="148" t="s">
        <v>796</v>
      </c>
      <c r="N132" s="317">
        <v>3440</v>
      </c>
      <c r="O132" s="311"/>
      <c r="Q132" s="318">
        <v>10</v>
      </c>
      <c r="R132" s="30">
        <v>0</v>
      </c>
      <c r="S132" s="5">
        <v>3439</v>
      </c>
      <c r="T132" s="5">
        <v>3439</v>
      </c>
      <c r="U132" s="15">
        <f t="shared" si="11"/>
        <v>0</v>
      </c>
      <c r="V132" s="319">
        <f t="shared" si="14"/>
        <v>1</v>
      </c>
      <c r="W132" s="318">
        <v>2894</v>
      </c>
      <c r="X132" s="320"/>
      <c r="Y132" s="319"/>
      <c r="Z132" s="155">
        <f t="shared" si="10"/>
        <v>120</v>
      </c>
    </row>
    <row r="133" spans="1:26" s="245" customFormat="1" x14ac:dyDescent="0.25">
      <c r="A133" s="97" t="s">
        <v>1160</v>
      </c>
      <c r="B133" s="97" t="s">
        <v>1161</v>
      </c>
      <c r="C133" s="97"/>
      <c r="D133" s="97" t="s">
        <v>1162</v>
      </c>
      <c r="E133" s="97"/>
      <c r="F133" s="97" t="s">
        <v>847</v>
      </c>
      <c r="G133" s="132" t="str">
        <f t="shared" si="13"/>
        <v>12/9/2003</v>
      </c>
      <c r="H133" s="133">
        <v>12</v>
      </c>
      <c r="I133" s="133">
        <v>9</v>
      </c>
      <c r="J133" s="134">
        <v>2003</v>
      </c>
      <c r="K133" s="97" t="s">
        <v>56</v>
      </c>
      <c r="L133" s="97">
        <v>1827</v>
      </c>
      <c r="M133" s="97" t="s">
        <v>796</v>
      </c>
      <c r="N133" s="311">
        <v>21920</v>
      </c>
      <c r="O133" s="311"/>
      <c r="Q133" s="245">
        <v>10</v>
      </c>
      <c r="R133" s="30">
        <v>0</v>
      </c>
      <c r="S133" s="5">
        <v>21919</v>
      </c>
      <c r="T133" s="5">
        <v>21919</v>
      </c>
      <c r="U133" s="15">
        <f t="shared" si="11"/>
        <v>0</v>
      </c>
      <c r="V133" s="313">
        <f t="shared" si="14"/>
        <v>1</v>
      </c>
      <c r="W133" s="245">
        <v>2713</v>
      </c>
      <c r="X133" s="312"/>
      <c r="Y133" s="313"/>
      <c r="Z133" s="114">
        <f t="shared" si="10"/>
        <v>120</v>
      </c>
    </row>
    <row r="134" spans="1:26" s="245" customFormat="1" x14ac:dyDescent="0.25">
      <c r="A134" s="97" t="s">
        <v>1163</v>
      </c>
      <c r="B134" s="97" t="s">
        <v>1164</v>
      </c>
      <c r="C134" s="97"/>
      <c r="D134" s="97" t="s">
        <v>1165</v>
      </c>
      <c r="E134" s="97"/>
      <c r="F134" s="97" t="s">
        <v>1166</v>
      </c>
      <c r="G134" s="132" t="str">
        <f t="shared" si="13"/>
        <v>17/1/2005</v>
      </c>
      <c r="H134" s="133">
        <v>17</v>
      </c>
      <c r="I134" s="133">
        <v>1</v>
      </c>
      <c r="J134" s="134">
        <v>2005</v>
      </c>
      <c r="K134" s="97" t="s">
        <v>56</v>
      </c>
      <c r="L134" s="97">
        <v>8169</v>
      </c>
      <c r="M134" s="97" t="s">
        <v>796</v>
      </c>
      <c r="N134" s="311">
        <v>10450</v>
      </c>
      <c r="O134" s="311" t="s">
        <v>1167</v>
      </c>
      <c r="Q134" s="245">
        <v>10</v>
      </c>
      <c r="R134" s="30">
        <v>0</v>
      </c>
      <c r="S134" s="5">
        <v>10449</v>
      </c>
      <c r="T134" s="5">
        <v>10449</v>
      </c>
      <c r="U134" s="15">
        <f t="shared" si="11"/>
        <v>0</v>
      </c>
      <c r="V134" s="313">
        <f t="shared" si="14"/>
        <v>1</v>
      </c>
      <c r="W134" s="245">
        <v>5817</v>
      </c>
      <c r="X134" s="312"/>
      <c r="Y134" s="313"/>
      <c r="Z134" s="114">
        <f t="shared" si="10"/>
        <v>120</v>
      </c>
    </row>
    <row r="135" spans="1:26" s="245" customFormat="1" x14ac:dyDescent="0.25">
      <c r="A135" s="97" t="s">
        <v>1168</v>
      </c>
      <c r="B135" s="97" t="s">
        <v>1130</v>
      </c>
      <c r="C135" s="97"/>
      <c r="D135" s="97" t="s">
        <v>1169</v>
      </c>
      <c r="E135" s="97"/>
      <c r="F135" s="97" t="s">
        <v>1132</v>
      </c>
      <c r="G135" s="132" t="str">
        <f t="shared" si="13"/>
        <v>12/12/2003</v>
      </c>
      <c r="H135" s="133">
        <v>12</v>
      </c>
      <c r="I135" s="133">
        <v>12</v>
      </c>
      <c r="J135" s="134">
        <v>2003</v>
      </c>
      <c r="K135" s="97" t="s">
        <v>56</v>
      </c>
      <c r="L135" s="97">
        <v>13766</v>
      </c>
      <c r="M135" s="97" t="s">
        <v>796</v>
      </c>
      <c r="N135" s="311">
        <v>5194.8</v>
      </c>
      <c r="O135" s="311"/>
      <c r="Q135" s="245">
        <v>10</v>
      </c>
      <c r="R135" s="30">
        <v>0</v>
      </c>
      <c r="S135" s="5">
        <v>5193.8</v>
      </c>
      <c r="T135" s="5">
        <v>5193.8</v>
      </c>
      <c r="U135" s="15">
        <f t="shared" si="11"/>
        <v>0</v>
      </c>
      <c r="V135" s="313">
        <f t="shared" ref="V135:V166" si="15">N135-T135</f>
        <v>1</v>
      </c>
      <c r="W135" s="245">
        <v>2773</v>
      </c>
      <c r="X135" s="312"/>
      <c r="Y135" s="313"/>
      <c r="Z135" s="114">
        <f t="shared" ref="Z135:Z198" si="16">IF((DATEDIF(G135,Z$4,"m"))&gt;=120,120,(DATEDIF(G135,Z$4,"m")))</f>
        <v>120</v>
      </c>
    </row>
    <row r="136" spans="1:26" s="245" customFormat="1" x14ac:dyDescent="0.25">
      <c r="A136" s="97" t="s">
        <v>1170</v>
      </c>
      <c r="B136" s="97" t="s">
        <v>1130</v>
      </c>
      <c r="C136" s="97"/>
      <c r="D136" s="97" t="s">
        <v>1171</v>
      </c>
      <c r="E136" s="97"/>
      <c r="F136" s="97" t="s">
        <v>1132</v>
      </c>
      <c r="G136" s="132" t="str">
        <f t="shared" si="13"/>
        <v>12/12/2003</v>
      </c>
      <c r="H136" s="133">
        <v>12</v>
      </c>
      <c r="I136" s="133">
        <v>12</v>
      </c>
      <c r="J136" s="134">
        <v>2003</v>
      </c>
      <c r="K136" s="97" t="s">
        <v>56</v>
      </c>
      <c r="L136" s="97">
        <v>13742</v>
      </c>
      <c r="M136" s="97" t="s">
        <v>796</v>
      </c>
      <c r="N136" s="311">
        <v>10784</v>
      </c>
      <c r="O136" s="311"/>
      <c r="Q136" s="245">
        <v>10</v>
      </c>
      <c r="R136" s="30">
        <v>0</v>
      </c>
      <c r="S136" s="5">
        <v>10783</v>
      </c>
      <c r="T136" s="5">
        <v>10783</v>
      </c>
      <c r="U136" s="15">
        <f t="shared" ref="U136:U199" si="17">T136-S136</f>
        <v>0</v>
      </c>
      <c r="V136" s="313">
        <f t="shared" si="15"/>
        <v>1</v>
      </c>
      <c r="W136" s="245">
        <v>2873</v>
      </c>
      <c r="X136" s="312"/>
      <c r="Y136" s="313"/>
      <c r="Z136" s="114">
        <f t="shared" si="16"/>
        <v>120</v>
      </c>
    </row>
    <row r="137" spans="1:26" s="245" customFormat="1" x14ac:dyDescent="0.25">
      <c r="A137" s="97" t="s">
        <v>1172</v>
      </c>
      <c r="B137" s="97" t="s">
        <v>1173</v>
      </c>
      <c r="C137" s="97"/>
      <c r="D137" s="97" t="s">
        <v>846</v>
      </c>
      <c r="E137" s="97"/>
      <c r="F137" s="97"/>
      <c r="G137" s="132" t="str">
        <f t="shared" si="13"/>
        <v>12/12/2003</v>
      </c>
      <c r="H137" s="133">
        <v>12</v>
      </c>
      <c r="I137" s="133">
        <v>12</v>
      </c>
      <c r="J137" s="134">
        <v>2003</v>
      </c>
      <c r="K137" s="97"/>
      <c r="L137" s="97"/>
      <c r="M137" s="97" t="s">
        <v>796</v>
      </c>
      <c r="N137" s="311">
        <v>1</v>
      </c>
      <c r="O137" s="311"/>
      <c r="Q137" s="245">
        <v>10</v>
      </c>
      <c r="R137" s="30">
        <v>0</v>
      </c>
      <c r="S137" s="5">
        <v>0</v>
      </c>
      <c r="T137" s="5">
        <v>0</v>
      </c>
      <c r="U137" s="15">
        <f t="shared" si="17"/>
        <v>0</v>
      </c>
      <c r="V137" s="313">
        <f t="shared" si="15"/>
        <v>1</v>
      </c>
      <c r="X137" s="312"/>
      <c r="Y137" s="313"/>
      <c r="Z137" s="114">
        <f t="shared" si="16"/>
        <v>120</v>
      </c>
    </row>
    <row r="138" spans="1:26" s="245" customFormat="1" x14ac:dyDescent="0.25">
      <c r="A138" s="97" t="s">
        <v>1174</v>
      </c>
      <c r="B138" s="97" t="s">
        <v>1175</v>
      </c>
      <c r="C138" s="97"/>
      <c r="D138" s="97" t="s">
        <v>1176</v>
      </c>
      <c r="E138" s="97"/>
      <c r="F138" s="97"/>
      <c r="G138" s="132" t="str">
        <f t="shared" si="13"/>
        <v>12/12/2003</v>
      </c>
      <c r="H138" s="133">
        <v>12</v>
      </c>
      <c r="I138" s="133">
        <v>12</v>
      </c>
      <c r="J138" s="134">
        <v>2003</v>
      </c>
      <c r="K138" s="97"/>
      <c r="L138" s="97"/>
      <c r="M138" s="97" t="s">
        <v>796</v>
      </c>
      <c r="N138" s="311">
        <v>1</v>
      </c>
      <c r="O138" s="311"/>
      <c r="Q138" s="245">
        <v>10</v>
      </c>
      <c r="R138" s="30">
        <v>0</v>
      </c>
      <c r="S138" s="5">
        <v>0</v>
      </c>
      <c r="T138" s="5">
        <v>0</v>
      </c>
      <c r="U138" s="15">
        <f t="shared" si="17"/>
        <v>0</v>
      </c>
      <c r="V138" s="313">
        <f t="shared" si="15"/>
        <v>1</v>
      </c>
      <c r="X138" s="312"/>
      <c r="Y138" s="313"/>
      <c r="Z138" s="114">
        <f t="shared" si="16"/>
        <v>120</v>
      </c>
    </row>
    <row r="139" spans="1:26" s="245" customFormat="1" x14ac:dyDescent="0.25">
      <c r="A139" s="97" t="s">
        <v>1177</v>
      </c>
      <c r="B139" s="97" t="s">
        <v>1178</v>
      </c>
      <c r="C139" s="97"/>
      <c r="D139" s="97" t="s">
        <v>973</v>
      </c>
      <c r="E139" s="97"/>
      <c r="F139" s="97" t="s">
        <v>847</v>
      </c>
      <c r="G139" s="132" t="str">
        <f t="shared" si="13"/>
        <v>20/5/2004</v>
      </c>
      <c r="H139" s="133">
        <v>20</v>
      </c>
      <c r="I139" s="133">
        <v>5</v>
      </c>
      <c r="J139" s="134">
        <v>2004</v>
      </c>
      <c r="K139" s="97" t="s">
        <v>56</v>
      </c>
      <c r="L139" s="97">
        <v>5615</v>
      </c>
      <c r="M139" s="97" t="s">
        <v>796</v>
      </c>
      <c r="N139" s="311">
        <v>3506.25</v>
      </c>
      <c r="O139" s="311" t="s">
        <v>941</v>
      </c>
      <c r="Q139" s="245">
        <v>10</v>
      </c>
      <c r="R139" s="30">
        <v>0</v>
      </c>
      <c r="S139" s="5">
        <v>3505.2499999999995</v>
      </c>
      <c r="T139" s="5">
        <v>3505.2499999999995</v>
      </c>
      <c r="U139" s="15">
        <f t="shared" si="17"/>
        <v>0</v>
      </c>
      <c r="V139" s="313">
        <f t="shared" si="15"/>
        <v>1.0000000000004547</v>
      </c>
      <c r="W139" s="245">
        <v>3890</v>
      </c>
      <c r="X139" s="312"/>
      <c r="Y139" s="313"/>
      <c r="Z139" s="114">
        <f t="shared" si="16"/>
        <v>120</v>
      </c>
    </row>
    <row r="140" spans="1:26" s="245" customFormat="1" x14ac:dyDescent="0.25">
      <c r="A140" s="97" t="s">
        <v>1179</v>
      </c>
      <c r="B140" s="97" t="s">
        <v>1180</v>
      </c>
      <c r="C140" s="97" t="s">
        <v>1181</v>
      </c>
      <c r="D140" s="97" t="s">
        <v>909</v>
      </c>
      <c r="E140" s="97"/>
      <c r="F140" s="97" t="s">
        <v>821</v>
      </c>
      <c r="G140" s="132" t="str">
        <f t="shared" si="13"/>
        <v>12/5/2003</v>
      </c>
      <c r="H140" s="133">
        <v>12</v>
      </c>
      <c r="I140" s="133">
        <v>5</v>
      </c>
      <c r="J140" s="134">
        <v>2003</v>
      </c>
      <c r="K140" s="97" t="s">
        <v>56</v>
      </c>
      <c r="L140" s="97">
        <v>46219</v>
      </c>
      <c r="M140" s="97" t="s">
        <v>796</v>
      </c>
      <c r="N140" s="311">
        <v>4942</v>
      </c>
      <c r="O140" s="311" t="s">
        <v>998</v>
      </c>
      <c r="Q140" s="245">
        <v>10</v>
      </c>
      <c r="R140" s="30">
        <v>0</v>
      </c>
      <c r="S140" s="5">
        <v>4941.0000000000009</v>
      </c>
      <c r="T140" s="5">
        <v>4941.0000000000009</v>
      </c>
      <c r="U140" s="15">
        <f t="shared" si="17"/>
        <v>0</v>
      </c>
      <c r="V140" s="313">
        <f t="shared" si="15"/>
        <v>0.99999999999909051</v>
      </c>
      <c r="W140" s="245">
        <v>2560</v>
      </c>
      <c r="X140" s="312"/>
      <c r="Y140" s="313"/>
      <c r="Z140" s="114">
        <f t="shared" si="16"/>
        <v>120</v>
      </c>
    </row>
    <row r="141" spans="1:26" s="245" customFormat="1" x14ac:dyDescent="0.25">
      <c r="A141" s="97" t="s">
        <v>1182</v>
      </c>
      <c r="B141" s="97" t="s">
        <v>1183</v>
      </c>
      <c r="C141" s="97"/>
      <c r="D141" s="97"/>
      <c r="E141" s="97"/>
      <c r="F141" s="97" t="s">
        <v>847</v>
      </c>
      <c r="G141" s="132" t="str">
        <f t="shared" si="13"/>
        <v>24/4/2003</v>
      </c>
      <c r="H141" s="133">
        <v>24</v>
      </c>
      <c r="I141" s="133">
        <v>4</v>
      </c>
      <c r="J141" s="134">
        <v>2003</v>
      </c>
      <c r="K141" s="97" t="s">
        <v>56</v>
      </c>
      <c r="L141" s="97">
        <v>5190</v>
      </c>
      <c r="M141" s="97" t="s">
        <v>796</v>
      </c>
      <c r="N141" s="311">
        <v>2912</v>
      </c>
      <c r="O141" s="311" t="s">
        <v>1184</v>
      </c>
      <c r="Q141" s="245">
        <v>10</v>
      </c>
      <c r="R141" s="30">
        <v>0</v>
      </c>
      <c r="S141" s="5">
        <v>2911.0000000000005</v>
      </c>
      <c r="T141" s="5">
        <v>2911.0000000000005</v>
      </c>
      <c r="U141" s="15">
        <f t="shared" si="17"/>
        <v>0</v>
      </c>
      <c r="V141" s="313">
        <f t="shared" si="15"/>
        <v>0.99999999999954525</v>
      </c>
      <c r="W141" s="245">
        <v>1258</v>
      </c>
      <c r="X141" s="312"/>
      <c r="Y141" s="313"/>
      <c r="Z141" s="114">
        <f t="shared" si="16"/>
        <v>120</v>
      </c>
    </row>
    <row r="142" spans="1:26" s="245" customFormat="1" x14ac:dyDescent="0.25">
      <c r="A142" s="148" t="s">
        <v>1185</v>
      </c>
      <c r="B142" s="148" t="s">
        <v>1186</v>
      </c>
      <c r="C142" s="148" t="s">
        <v>1187</v>
      </c>
      <c r="D142" s="148" t="s">
        <v>1188</v>
      </c>
      <c r="E142" s="148" t="s">
        <v>1189</v>
      </c>
      <c r="F142" s="148"/>
      <c r="G142" s="149" t="str">
        <f t="shared" si="13"/>
        <v>31/12/2003</v>
      </c>
      <c r="H142" s="150">
        <v>31</v>
      </c>
      <c r="I142" s="150">
        <v>12</v>
      </c>
      <c r="J142" s="151">
        <v>2003</v>
      </c>
      <c r="K142" s="148"/>
      <c r="L142" s="148"/>
      <c r="M142" s="148" t="s">
        <v>796</v>
      </c>
      <c r="N142" s="317">
        <v>1560</v>
      </c>
      <c r="O142" s="311" t="s">
        <v>986</v>
      </c>
      <c r="Q142" s="318">
        <v>10</v>
      </c>
      <c r="R142" s="30">
        <v>0</v>
      </c>
      <c r="S142" s="5">
        <v>1559</v>
      </c>
      <c r="T142" s="5">
        <v>1559</v>
      </c>
      <c r="U142" s="15">
        <f t="shared" si="17"/>
        <v>0</v>
      </c>
      <c r="V142" s="319">
        <f t="shared" si="15"/>
        <v>1</v>
      </c>
      <c r="W142" s="318"/>
      <c r="X142" s="320"/>
      <c r="Y142" s="319"/>
      <c r="Z142" s="155">
        <f t="shared" si="16"/>
        <v>120</v>
      </c>
    </row>
    <row r="143" spans="1:26" s="245" customFormat="1" x14ac:dyDescent="0.25">
      <c r="A143" s="97" t="s">
        <v>1190</v>
      </c>
      <c r="B143" s="97" t="s">
        <v>1130</v>
      </c>
      <c r="C143" s="97"/>
      <c r="D143" s="97" t="s">
        <v>1191</v>
      </c>
      <c r="E143" s="97"/>
      <c r="F143" s="97" t="s">
        <v>1132</v>
      </c>
      <c r="G143" s="132" t="str">
        <f t="shared" si="13"/>
        <v>12/12/2003</v>
      </c>
      <c r="H143" s="133">
        <v>12</v>
      </c>
      <c r="I143" s="133">
        <v>12</v>
      </c>
      <c r="J143" s="134">
        <v>2003</v>
      </c>
      <c r="K143" s="97" t="s">
        <v>56</v>
      </c>
      <c r="L143" s="97">
        <v>13742</v>
      </c>
      <c r="M143" s="97" t="s">
        <v>796</v>
      </c>
      <c r="N143" s="311">
        <v>4607</v>
      </c>
      <c r="O143" s="311"/>
      <c r="Q143" s="245">
        <v>10</v>
      </c>
      <c r="R143" s="30">
        <v>0</v>
      </c>
      <c r="S143" s="5">
        <v>4606</v>
      </c>
      <c r="T143" s="5">
        <v>4606</v>
      </c>
      <c r="U143" s="15">
        <f t="shared" si="17"/>
        <v>0</v>
      </c>
      <c r="V143" s="313">
        <f t="shared" si="15"/>
        <v>1</v>
      </c>
      <c r="W143" s="245">
        <v>2873</v>
      </c>
      <c r="X143" s="312"/>
      <c r="Y143" s="313"/>
      <c r="Z143" s="114">
        <f t="shared" si="16"/>
        <v>120</v>
      </c>
    </row>
    <row r="144" spans="1:26" s="245" customFormat="1" x14ac:dyDescent="0.25">
      <c r="A144" s="97" t="s">
        <v>1192</v>
      </c>
      <c r="B144" s="97" t="s">
        <v>1130</v>
      </c>
      <c r="C144" s="97"/>
      <c r="D144" s="97" t="s">
        <v>1193</v>
      </c>
      <c r="E144" s="97"/>
      <c r="F144" s="97" t="s">
        <v>1132</v>
      </c>
      <c r="G144" s="132" t="str">
        <f t="shared" si="13"/>
        <v>19/12/2003</v>
      </c>
      <c r="H144" s="133">
        <v>19</v>
      </c>
      <c r="I144" s="133">
        <v>12</v>
      </c>
      <c r="J144" s="134">
        <v>2003</v>
      </c>
      <c r="K144" s="97" t="s">
        <v>56</v>
      </c>
      <c r="L144" s="97">
        <v>13766</v>
      </c>
      <c r="M144" s="97" t="s">
        <v>796</v>
      </c>
      <c r="N144" s="311">
        <v>5194.5600000000004</v>
      </c>
      <c r="O144" s="311"/>
      <c r="Q144" s="245">
        <v>10</v>
      </c>
      <c r="R144" s="30">
        <v>0</v>
      </c>
      <c r="S144" s="5">
        <v>5193.5599999999995</v>
      </c>
      <c r="T144" s="5">
        <v>5193.5599999999995</v>
      </c>
      <c r="U144" s="15">
        <f t="shared" si="17"/>
        <v>0</v>
      </c>
      <c r="V144" s="313">
        <f t="shared" si="15"/>
        <v>1.0000000000009095</v>
      </c>
      <c r="W144" s="245">
        <v>2773</v>
      </c>
      <c r="X144" s="312"/>
      <c r="Y144" s="313"/>
      <c r="Z144" s="114">
        <f t="shared" si="16"/>
        <v>120</v>
      </c>
    </row>
    <row r="145" spans="1:26" s="245" customFormat="1" x14ac:dyDescent="0.25">
      <c r="A145" s="97" t="s">
        <v>1194</v>
      </c>
      <c r="B145" s="97" t="s">
        <v>1195</v>
      </c>
      <c r="C145" s="97"/>
      <c r="D145" s="97"/>
      <c r="E145" s="97"/>
      <c r="F145" s="97"/>
      <c r="G145" s="132" t="str">
        <f t="shared" si="13"/>
        <v>19/12/2003</v>
      </c>
      <c r="H145" s="133">
        <v>19</v>
      </c>
      <c r="I145" s="133">
        <v>12</v>
      </c>
      <c r="J145" s="134">
        <v>2003</v>
      </c>
      <c r="K145" s="97"/>
      <c r="L145" s="97"/>
      <c r="M145" s="97" t="s">
        <v>796</v>
      </c>
      <c r="N145" s="311">
        <v>1</v>
      </c>
      <c r="O145" s="311"/>
      <c r="Q145" s="245">
        <v>10</v>
      </c>
      <c r="R145" s="30">
        <v>0</v>
      </c>
      <c r="S145" s="5">
        <v>0</v>
      </c>
      <c r="T145" s="5">
        <v>0</v>
      </c>
      <c r="U145" s="15">
        <f t="shared" si="17"/>
        <v>0</v>
      </c>
      <c r="V145" s="313">
        <f t="shared" si="15"/>
        <v>1</v>
      </c>
      <c r="X145" s="312"/>
      <c r="Y145" s="313"/>
      <c r="Z145" s="114">
        <f t="shared" si="16"/>
        <v>120</v>
      </c>
    </row>
    <row r="146" spans="1:26" s="245" customFormat="1" x14ac:dyDescent="0.25">
      <c r="A146" s="97" t="s">
        <v>1196</v>
      </c>
      <c r="B146" s="97" t="s">
        <v>1197</v>
      </c>
      <c r="C146" s="97"/>
      <c r="D146" s="97"/>
      <c r="E146" s="97"/>
      <c r="F146" s="97" t="s">
        <v>847</v>
      </c>
      <c r="G146" s="132" t="str">
        <f t="shared" si="13"/>
        <v>3/4/2004</v>
      </c>
      <c r="H146" s="133">
        <v>3</v>
      </c>
      <c r="I146" s="133">
        <v>4</v>
      </c>
      <c r="J146" s="134">
        <v>2004</v>
      </c>
      <c r="K146" s="97" t="s">
        <v>56</v>
      </c>
      <c r="L146" s="97">
        <v>2113</v>
      </c>
      <c r="M146" s="97" t="s">
        <v>796</v>
      </c>
      <c r="N146" s="311">
        <v>3492</v>
      </c>
      <c r="O146" s="311" t="s">
        <v>1008</v>
      </c>
      <c r="Q146" s="245">
        <v>10</v>
      </c>
      <c r="R146" s="30">
        <v>0</v>
      </c>
      <c r="S146" s="5">
        <v>3491</v>
      </c>
      <c r="T146" s="5">
        <v>3491</v>
      </c>
      <c r="U146" s="15">
        <f t="shared" si="17"/>
        <v>0</v>
      </c>
      <c r="V146" s="313">
        <f t="shared" si="15"/>
        <v>1</v>
      </c>
      <c r="W146" s="245">
        <v>3837</v>
      </c>
      <c r="X146" s="312"/>
      <c r="Y146" s="313"/>
      <c r="Z146" s="114">
        <f t="shared" si="16"/>
        <v>120</v>
      </c>
    </row>
    <row r="147" spans="1:26" s="334" customFormat="1" x14ac:dyDescent="0.25">
      <c r="A147" s="172" t="s">
        <v>1198</v>
      </c>
      <c r="B147" s="172" t="s">
        <v>1199</v>
      </c>
      <c r="C147" s="172"/>
      <c r="D147" s="172" t="s">
        <v>846</v>
      </c>
      <c r="E147" s="172"/>
      <c r="F147" s="172" t="s">
        <v>838</v>
      </c>
      <c r="G147" s="173" t="str">
        <f t="shared" si="13"/>
        <v>13/1/2003</v>
      </c>
      <c r="H147" s="174">
        <v>13</v>
      </c>
      <c r="I147" s="174">
        <v>1</v>
      </c>
      <c r="J147" s="175">
        <v>2003</v>
      </c>
      <c r="K147" s="172" t="s">
        <v>56</v>
      </c>
      <c r="L147" s="172">
        <v>26690</v>
      </c>
      <c r="M147" s="97" t="s">
        <v>796</v>
      </c>
      <c r="N147" s="333">
        <v>6139.39</v>
      </c>
      <c r="O147" s="311" t="s">
        <v>1019</v>
      </c>
      <c r="P147" s="245"/>
      <c r="Q147" s="334">
        <v>10</v>
      </c>
      <c r="R147" s="178">
        <v>0</v>
      </c>
      <c r="S147" s="570">
        <v>6138.3900000000012</v>
      </c>
      <c r="T147" s="570">
        <v>6138.3900000000012</v>
      </c>
      <c r="U147" s="572">
        <f>T147-S147</f>
        <v>0</v>
      </c>
      <c r="V147" s="335">
        <f t="shared" si="15"/>
        <v>0.99999999999909051</v>
      </c>
      <c r="W147" s="334">
        <v>912</v>
      </c>
      <c r="X147" s="336"/>
      <c r="Y147" s="335"/>
      <c r="Z147" s="640">
        <f t="shared" si="16"/>
        <v>120</v>
      </c>
    </row>
    <row r="148" spans="1:26" s="245" customFormat="1" x14ac:dyDescent="0.25">
      <c r="A148" s="97" t="s">
        <v>1200</v>
      </c>
      <c r="B148" s="97" t="s">
        <v>1201</v>
      </c>
      <c r="C148" s="97"/>
      <c r="D148" s="97"/>
      <c r="E148" s="97"/>
      <c r="F148" s="97"/>
      <c r="G148" s="132" t="str">
        <f t="shared" si="13"/>
        <v>13/1/2003</v>
      </c>
      <c r="H148" s="133">
        <v>13</v>
      </c>
      <c r="I148" s="133">
        <v>1</v>
      </c>
      <c r="J148" s="134">
        <v>2003</v>
      </c>
      <c r="K148" s="97"/>
      <c r="L148" s="97"/>
      <c r="M148" s="97" t="s">
        <v>796</v>
      </c>
      <c r="N148" s="311">
        <v>1</v>
      </c>
      <c r="O148" s="311"/>
      <c r="Q148" s="245">
        <v>10</v>
      </c>
      <c r="R148" s="30">
        <v>0</v>
      </c>
      <c r="S148" s="5">
        <v>0</v>
      </c>
      <c r="T148" s="5">
        <v>0</v>
      </c>
      <c r="U148" s="15">
        <f t="shared" si="17"/>
        <v>0</v>
      </c>
      <c r="V148" s="313">
        <f t="shared" si="15"/>
        <v>1</v>
      </c>
      <c r="X148" s="312"/>
      <c r="Y148" s="313"/>
      <c r="Z148" s="114">
        <f t="shared" si="16"/>
        <v>120</v>
      </c>
    </row>
    <row r="149" spans="1:26" s="245" customFormat="1" x14ac:dyDescent="0.25">
      <c r="A149" s="97" t="s">
        <v>1202</v>
      </c>
      <c r="B149" s="97" t="s">
        <v>1203</v>
      </c>
      <c r="C149" s="97"/>
      <c r="D149" s="97" t="s">
        <v>1204</v>
      </c>
      <c r="E149" s="97"/>
      <c r="F149" s="97" t="s">
        <v>934</v>
      </c>
      <c r="G149" s="132" t="str">
        <f t="shared" si="13"/>
        <v>28/11/2003</v>
      </c>
      <c r="H149" s="133">
        <v>28</v>
      </c>
      <c r="I149" s="133">
        <v>11</v>
      </c>
      <c r="J149" s="134">
        <v>2003</v>
      </c>
      <c r="K149" s="97" t="s">
        <v>931</v>
      </c>
      <c r="L149" s="97">
        <v>697</v>
      </c>
      <c r="M149" s="97" t="s">
        <v>796</v>
      </c>
      <c r="N149" s="311">
        <v>23328</v>
      </c>
      <c r="O149" s="311" t="s">
        <v>1205</v>
      </c>
      <c r="Q149" s="245">
        <v>10</v>
      </c>
      <c r="R149" s="30">
        <v>0</v>
      </c>
      <c r="S149" s="5">
        <v>23327</v>
      </c>
      <c r="T149" s="5">
        <v>23327</v>
      </c>
      <c r="U149" s="15">
        <f t="shared" si="17"/>
        <v>0</v>
      </c>
      <c r="V149" s="313">
        <f t="shared" si="15"/>
        <v>1</v>
      </c>
      <c r="W149" s="245">
        <v>2533</v>
      </c>
      <c r="X149" s="312"/>
      <c r="Y149" s="313"/>
      <c r="Z149" s="114">
        <f t="shared" si="16"/>
        <v>120</v>
      </c>
    </row>
    <row r="150" spans="1:26" s="245" customFormat="1" x14ac:dyDescent="0.25">
      <c r="A150" s="97" t="s">
        <v>1206</v>
      </c>
      <c r="B150" s="97" t="s">
        <v>1207</v>
      </c>
      <c r="C150" s="97"/>
      <c r="D150" s="97" t="s">
        <v>1208</v>
      </c>
      <c r="E150" s="97"/>
      <c r="F150" s="97" t="s">
        <v>934</v>
      </c>
      <c r="G150" s="132" t="str">
        <f t="shared" si="13"/>
        <v>28/11/2003</v>
      </c>
      <c r="H150" s="133">
        <v>28</v>
      </c>
      <c r="I150" s="133">
        <v>11</v>
      </c>
      <c r="J150" s="134">
        <v>2003</v>
      </c>
      <c r="K150" s="97" t="s">
        <v>931</v>
      </c>
      <c r="L150" s="97">
        <v>698</v>
      </c>
      <c r="M150" s="97" t="s">
        <v>796</v>
      </c>
      <c r="N150" s="311">
        <v>14500</v>
      </c>
      <c r="O150" s="311"/>
      <c r="Q150" s="245">
        <v>10</v>
      </c>
      <c r="R150" s="30">
        <v>0</v>
      </c>
      <c r="S150" s="5">
        <v>14499</v>
      </c>
      <c r="T150" s="5">
        <v>14499</v>
      </c>
      <c r="U150" s="15">
        <f t="shared" si="17"/>
        <v>0</v>
      </c>
      <c r="V150" s="313">
        <f t="shared" si="15"/>
        <v>1</v>
      </c>
      <c r="W150" s="245">
        <v>2534</v>
      </c>
      <c r="X150" s="312"/>
      <c r="Y150" s="313"/>
      <c r="Z150" s="114">
        <f t="shared" si="16"/>
        <v>120</v>
      </c>
    </row>
    <row r="151" spans="1:26" s="245" customFormat="1" x14ac:dyDescent="0.25">
      <c r="A151" s="97" t="s">
        <v>1209</v>
      </c>
      <c r="B151" s="97" t="s">
        <v>1210</v>
      </c>
      <c r="C151" s="97"/>
      <c r="D151" s="97"/>
      <c r="E151" s="97"/>
      <c r="F151" s="97"/>
      <c r="G151" s="132" t="str">
        <f t="shared" si="13"/>
        <v>28/11/2003</v>
      </c>
      <c r="H151" s="133">
        <v>28</v>
      </c>
      <c r="I151" s="133">
        <v>11</v>
      </c>
      <c r="J151" s="134">
        <v>2003</v>
      </c>
      <c r="K151" s="97"/>
      <c r="L151" s="97"/>
      <c r="M151" s="97" t="s">
        <v>796</v>
      </c>
      <c r="N151" s="311">
        <v>1</v>
      </c>
      <c r="O151" s="311" t="s">
        <v>1211</v>
      </c>
      <c r="Q151" s="245">
        <v>10</v>
      </c>
      <c r="R151" s="30">
        <v>0</v>
      </c>
      <c r="S151" s="5">
        <v>0</v>
      </c>
      <c r="T151" s="5">
        <v>0</v>
      </c>
      <c r="U151" s="15">
        <f t="shared" si="17"/>
        <v>0</v>
      </c>
      <c r="V151" s="313">
        <f t="shared" si="15"/>
        <v>1</v>
      </c>
      <c r="X151" s="312"/>
      <c r="Y151" s="313"/>
      <c r="Z151" s="114">
        <f t="shared" si="16"/>
        <v>120</v>
      </c>
    </row>
    <row r="152" spans="1:26" s="245" customFormat="1" x14ac:dyDescent="0.25">
      <c r="A152" s="97" t="s">
        <v>1212</v>
      </c>
      <c r="B152" s="97" t="s">
        <v>1213</v>
      </c>
      <c r="C152" s="97"/>
      <c r="D152" s="97" t="s">
        <v>1214</v>
      </c>
      <c r="E152" s="97"/>
      <c r="F152" s="97" t="s">
        <v>934</v>
      </c>
      <c r="G152" s="132" t="str">
        <f t="shared" si="13"/>
        <v>12/1/2003</v>
      </c>
      <c r="H152" s="133">
        <v>12</v>
      </c>
      <c r="I152" s="133">
        <v>1</v>
      </c>
      <c r="J152" s="134">
        <v>2003</v>
      </c>
      <c r="K152" s="97" t="s">
        <v>931</v>
      </c>
      <c r="L152" s="97">
        <v>703</v>
      </c>
      <c r="M152" s="97" t="s">
        <v>796</v>
      </c>
      <c r="N152" s="311">
        <v>21186</v>
      </c>
      <c r="O152" s="311"/>
      <c r="Q152" s="245">
        <v>10</v>
      </c>
      <c r="R152" s="30">
        <v>0</v>
      </c>
      <c r="S152" s="5">
        <v>21185</v>
      </c>
      <c r="T152" s="5">
        <v>21185</v>
      </c>
      <c r="U152" s="15">
        <f t="shared" si="17"/>
        <v>0</v>
      </c>
      <c r="V152" s="313">
        <f t="shared" si="15"/>
        <v>1</v>
      </c>
      <c r="W152" s="245">
        <v>2542</v>
      </c>
      <c r="X152" s="312"/>
      <c r="Y152" s="313"/>
      <c r="Z152" s="114">
        <f t="shared" si="16"/>
        <v>120</v>
      </c>
    </row>
    <row r="153" spans="1:26" s="245" customFormat="1" x14ac:dyDescent="0.25">
      <c r="A153" s="97" t="s">
        <v>1215</v>
      </c>
      <c r="B153" s="97" t="s">
        <v>1216</v>
      </c>
      <c r="C153" s="97"/>
      <c r="D153" s="97" t="s">
        <v>1208</v>
      </c>
      <c r="E153" s="97"/>
      <c r="F153" s="97" t="s">
        <v>934</v>
      </c>
      <c r="G153" s="132" t="str">
        <f t="shared" si="13"/>
        <v>28/11/2003</v>
      </c>
      <c r="H153" s="133">
        <v>28</v>
      </c>
      <c r="I153" s="133">
        <v>11</v>
      </c>
      <c r="J153" s="134">
        <v>2003</v>
      </c>
      <c r="K153" s="97" t="s">
        <v>931</v>
      </c>
      <c r="L153" s="97">
        <v>698</v>
      </c>
      <c r="M153" s="97" t="s">
        <v>796</v>
      </c>
      <c r="N153" s="311">
        <v>7500</v>
      </c>
      <c r="O153" s="311" t="s">
        <v>1217</v>
      </c>
      <c r="Q153" s="245">
        <v>10</v>
      </c>
      <c r="R153" s="30">
        <v>0</v>
      </c>
      <c r="S153" s="5">
        <v>7499</v>
      </c>
      <c r="T153" s="5">
        <v>7499</v>
      </c>
      <c r="U153" s="15">
        <f t="shared" si="17"/>
        <v>0</v>
      </c>
      <c r="V153" s="313">
        <f t="shared" si="15"/>
        <v>1</v>
      </c>
      <c r="W153" s="245">
        <v>2534</v>
      </c>
      <c r="X153" s="312"/>
      <c r="Y153" s="313"/>
      <c r="Z153" s="114">
        <f t="shared" si="16"/>
        <v>120</v>
      </c>
    </row>
    <row r="154" spans="1:26" s="245" customFormat="1" x14ac:dyDescent="0.25">
      <c r="A154" s="97" t="s">
        <v>1218</v>
      </c>
      <c r="B154" s="97" t="s">
        <v>1216</v>
      </c>
      <c r="C154" s="97"/>
      <c r="D154" s="97" t="s">
        <v>1208</v>
      </c>
      <c r="E154" s="97"/>
      <c r="F154" s="97" t="s">
        <v>934</v>
      </c>
      <c r="G154" s="132" t="str">
        <f t="shared" si="13"/>
        <v>28/11/2003</v>
      </c>
      <c r="H154" s="133">
        <v>28</v>
      </c>
      <c r="I154" s="133">
        <v>11</v>
      </c>
      <c r="J154" s="134">
        <v>2003</v>
      </c>
      <c r="K154" s="97" t="s">
        <v>931</v>
      </c>
      <c r="L154" s="97">
        <v>698</v>
      </c>
      <c r="M154" s="97" t="s">
        <v>796</v>
      </c>
      <c r="N154" s="311">
        <v>7500</v>
      </c>
      <c r="O154" s="311" t="s">
        <v>1217</v>
      </c>
      <c r="Q154" s="245">
        <v>10</v>
      </c>
      <c r="R154" s="30">
        <v>0</v>
      </c>
      <c r="S154" s="5">
        <v>7499</v>
      </c>
      <c r="T154" s="5">
        <v>7499</v>
      </c>
      <c r="U154" s="15">
        <f t="shared" si="17"/>
        <v>0</v>
      </c>
      <c r="V154" s="313">
        <f t="shared" si="15"/>
        <v>1</v>
      </c>
      <c r="W154" s="245">
        <v>2534</v>
      </c>
      <c r="X154" s="312"/>
      <c r="Y154" s="313"/>
      <c r="Z154" s="114">
        <f t="shared" si="16"/>
        <v>120</v>
      </c>
    </row>
    <row r="155" spans="1:26" s="245" customFormat="1" x14ac:dyDescent="0.25">
      <c r="A155" s="97" t="s">
        <v>1219</v>
      </c>
      <c r="B155" s="97" t="s">
        <v>1220</v>
      </c>
      <c r="C155" s="97" t="s">
        <v>1181</v>
      </c>
      <c r="D155" s="97" t="s">
        <v>1221</v>
      </c>
      <c r="E155" s="97"/>
      <c r="F155" s="97" t="s">
        <v>1222</v>
      </c>
      <c r="G155" s="132" t="str">
        <f t="shared" si="13"/>
        <v>13/1/2004</v>
      </c>
      <c r="H155" s="133">
        <v>13</v>
      </c>
      <c r="I155" s="133">
        <v>1</v>
      </c>
      <c r="J155" s="134">
        <v>2004</v>
      </c>
      <c r="K155" s="97" t="s">
        <v>56</v>
      </c>
      <c r="L155" s="97">
        <v>1420</v>
      </c>
      <c r="M155" s="97" t="s">
        <v>796</v>
      </c>
      <c r="N155" s="311">
        <v>5000</v>
      </c>
      <c r="O155" s="311" t="s">
        <v>1223</v>
      </c>
      <c r="Q155" s="245">
        <v>10</v>
      </c>
      <c r="R155" s="30">
        <v>0</v>
      </c>
      <c r="S155" s="5">
        <v>4999</v>
      </c>
      <c r="T155" s="5">
        <v>4999</v>
      </c>
      <c r="U155" s="15">
        <f t="shared" si="17"/>
        <v>0</v>
      </c>
      <c r="V155" s="313">
        <f t="shared" si="15"/>
        <v>1</v>
      </c>
      <c r="W155" s="245">
        <v>2979</v>
      </c>
      <c r="X155" s="312"/>
      <c r="Y155" s="313"/>
      <c r="Z155" s="114">
        <f t="shared" si="16"/>
        <v>120</v>
      </c>
    </row>
    <row r="156" spans="1:26" s="245" customFormat="1" x14ac:dyDescent="0.25">
      <c r="A156" s="97" t="s">
        <v>1224</v>
      </c>
      <c r="B156" s="97" t="s">
        <v>1225</v>
      </c>
      <c r="C156" s="97" t="s">
        <v>59</v>
      </c>
      <c r="D156" s="97" t="s">
        <v>1121</v>
      </c>
      <c r="E156" s="97" t="s">
        <v>1226</v>
      </c>
      <c r="F156" s="97" t="s">
        <v>884</v>
      </c>
      <c r="G156" s="132" t="str">
        <f t="shared" si="13"/>
        <v>2/1/2004</v>
      </c>
      <c r="H156" s="133">
        <v>2</v>
      </c>
      <c r="I156" s="133">
        <v>1</v>
      </c>
      <c r="J156" s="134">
        <v>2004</v>
      </c>
      <c r="K156" s="97" t="s">
        <v>56</v>
      </c>
      <c r="L156" s="97">
        <v>4785</v>
      </c>
      <c r="M156" s="97" t="s">
        <v>796</v>
      </c>
      <c r="N156" s="311">
        <v>7807</v>
      </c>
      <c r="O156" s="311" t="s">
        <v>1227</v>
      </c>
      <c r="Q156" s="245">
        <v>10</v>
      </c>
      <c r="R156" s="30">
        <v>0</v>
      </c>
      <c r="S156" s="5">
        <v>7806</v>
      </c>
      <c r="T156" s="5">
        <v>7806</v>
      </c>
      <c r="U156" s="15">
        <f t="shared" si="17"/>
        <v>0</v>
      </c>
      <c r="V156" s="313">
        <f t="shared" si="15"/>
        <v>1</v>
      </c>
      <c r="W156" s="245">
        <v>3171</v>
      </c>
      <c r="X156" s="312"/>
      <c r="Y156" s="313"/>
      <c r="Z156" s="114">
        <f t="shared" si="16"/>
        <v>120</v>
      </c>
    </row>
    <row r="157" spans="1:26" s="245" customFormat="1" x14ac:dyDescent="0.25">
      <c r="A157" s="97" t="s">
        <v>1228</v>
      </c>
      <c r="B157" s="97" t="s">
        <v>1229</v>
      </c>
      <c r="C157" s="97" t="s">
        <v>1230</v>
      </c>
      <c r="D157" s="97"/>
      <c r="E157" s="97" t="s">
        <v>1231</v>
      </c>
      <c r="F157" s="97" t="s">
        <v>1232</v>
      </c>
      <c r="G157" s="132" t="str">
        <f t="shared" si="13"/>
        <v>18/2/2006</v>
      </c>
      <c r="H157" s="133">
        <v>18</v>
      </c>
      <c r="I157" s="133">
        <v>2</v>
      </c>
      <c r="J157" s="134">
        <v>2006</v>
      </c>
      <c r="K157" s="97" t="s">
        <v>931</v>
      </c>
      <c r="L157" s="97">
        <v>867</v>
      </c>
      <c r="M157" s="97" t="s">
        <v>796</v>
      </c>
      <c r="N157" s="311">
        <v>2984.52</v>
      </c>
      <c r="O157" s="311" t="s">
        <v>1205</v>
      </c>
      <c r="Q157" s="245">
        <v>10</v>
      </c>
      <c r="R157" s="30">
        <f t="shared" ref="R157:R158" si="18">(((N157)-1)/10)/12</f>
        <v>24.862666666666666</v>
      </c>
      <c r="S157" s="5">
        <v>2933.7946666666667</v>
      </c>
      <c r="T157" s="313">
        <f t="shared" ref="T157" si="19">Z157*R157</f>
        <v>2958.6573333333331</v>
      </c>
      <c r="U157" s="15">
        <f t="shared" si="17"/>
        <v>24.862666666666428</v>
      </c>
      <c r="V157" s="313">
        <f t="shared" si="15"/>
        <v>25.862666666666883</v>
      </c>
      <c r="W157" s="245">
        <v>3267</v>
      </c>
      <c r="X157" s="312"/>
      <c r="Y157" s="313"/>
      <c r="Z157" s="114">
        <f t="shared" si="16"/>
        <v>119</v>
      </c>
    </row>
    <row r="158" spans="1:26" s="245" customFormat="1" x14ac:dyDescent="0.25">
      <c r="A158" s="97" t="s">
        <v>1233</v>
      </c>
      <c r="B158" s="97" t="s">
        <v>1234</v>
      </c>
      <c r="C158" s="97"/>
      <c r="D158" s="97"/>
      <c r="E158" s="97"/>
      <c r="F158" s="97"/>
      <c r="G158" s="132" t="str">
        <f t="shared" ref="G158:G221" si="20">CONCATENATE(H158,"/",I158,"/",J158,)</f>
        <v>18/2/2006</v>
      </c>
      <c r="H158" s="133">
        <v>18</v>
      </c>
      <c r="I158" s="133">
        <v>2</v>
      </c>
      <c r="J158" s="134">
        <v>2006</v>
      </c>
      <c r="K158" s="97"/>
      <c r="L158" s="97"/>
      <c r="M158" s="97" t="s">
        <v>796</v>
      </c>
      <c r="N158" s="311">
        <v>1</v>
      </c>
      <c r="O158" s="311" t="s">
        <v>1235</v>
      </c>
      <c r="Q158" s="245">
        <v>10</v>
      </c>
      <c r="R158" s="30">
        <f t="shared" si="18"/>
        <v>0</v>
      </c>
      <c r="S158" s="5">
        <v>0</v>
      </c>
      <c r="T158" s="313">
        <v>0</v>
      </c>
      <c r="U158" s="15">
        <f t="shared" si="17"/>
        <v>0</v>
      </c>
      <c r="V158" s="313">
        <f t="shared" si="15"/>
        <v>1</v>
      </c>
      <c r="X158" s="312"/>
      <c r="Y158" s="313"/>
      <c r="Z158" s="114">
        <f t="shared" si="16"/>
        <v>119</v>
      </c>
    </row>
    <row r="159" spans="1:26" s="245" customFormat="1" x14ac:dyDescent="0.25">
      <c r="A159" s="97" t="s">
        <v>1236</v>
      </c>
      <c r="B159" s="97" t="s">
        <v>1130</v>
      </c>
      <c r="C159" s="97"/>
      <c r="D159" s="97" t="s">
        <v>1237</v>
      </c>
      <c r="E159" s="97"/>
      <c r="F159" s="97" t="s">
        <v>914</v>
      </c>
      <c r="G159" s="132" t="str">
        <f t="shared" si="20"/>
        <v>9/12/2003</v>
      </c>
      <c r="H159" s="133">
        <v>9</v>
      </c>
      <c r="I159" s="133">
        <v>12</v>
      </c>
      <c r="J159" s="134">
        <v>2003</v>
      </c>
      <c r="K159" s="97" t="s">
        <v>56</v>
      </c>
      <c r="L159" s="97">
        <v>13766</v>
      </c>
      <c r="M159" s="97" t="s">
        <v>796</v>
      </c>
      <c r="N159" s="311">
        <v>5194.8</v>
      </c>
      <c r="O159" s="311"/>
      <c r="Q159" s="245">
        <v>10</v>
      </c>
      <c r="R159" s="30">
        <v>0</v>
      </c>
      <c r="S159" s="5">
        <v>5193.8</v>
      </c>
      <c r="T159" s="5">
        <v>5193.8</v>
      </c>
      <c r="U159" s="15">
        <f t="shared" si="17"/>
        <v>0</v>
      </c>
      <c r="V159" s="313">
        <f t="shared" si="15"/>
        <v>1</v>
      </c>
      <c r="W159" s="245">
        <v>2773</v>
      </c>
      <c r="X159" s="312"/>
      <c r="Y159" s="313"/>
      <c r="Z159" s="114">
        <f t="shared" si="16"/>
        <v>120</v>
      </c>
    </row>
    <row r="160" spans="1:26" s="245" customFormat="1" x14ac:dyDescent="0.25">
      <c r="A160" s="97" t="s">
        <v>1238</v>
      </c>
      <c r="B160" s="97" t="s">
        <v>1130</v>
      </c>
      <c r="C160" s="97"/>
      <c r="D160" s="97" t="s">
        <v>1237</v>
      </c>
      <c r="E160" s="97"/>
      <c r="F160" s="97" t="s">
        <v>914</v>
      </c>
      <c r="G160" s="132" t="str">
        <f t="shared" si="20"/>
        <v>9/12/2003</v>
      </c>
      <c r="H160" s="133">
        <v>9</v>
      </c>
      <c r="I160" s="133">
        <v>12</v>
      </c>
      <c r="J160" s="134">
        <v>2003</v>
      </c>
      <c r="K160" s="97" t="s">
        <v>56</v>
      </c>
      <c r="L160" s="97">
        <v>13766</v>
      </c>
      <c r="M160" s="97" t="s">
        <v>796</v>
      </c>
      <c r="N160" s="311">
        <v>5192.32</v>
      </c>
      <c r="O160" s="311"/>
      <c r="Q160" s="245">
        <v>10</v>
      </c>
      <c r="R160" s="30">
        <v>0</v>
      </c>
      <c r="S160" s="5">
        <v>5191.32</v>
      </c>
      <c r="T160" s="5">
        <v>5191.32</v>
      </c>
      <c r="U160" s="15">
        <f t="shared" si="17"/>
        <v>0</v>
      </c>
      <c r="V160" s="313">
        <f t="shared" si="15"/>
        <v>1</v>
      </c>
      <c r="W160" s="245">
        <v>2773</v>
      </c>
      <c r="X160" s="312"/>
      <c r="Y160" s="313"/>
      <c r="Z160" s="114">
        <f t="shared" si="16"/>
        <v>120</v>
      </c>
    </row>
    <row r="161" spans="1:26" s="245" customFormat="1" x14ac:dyDescent="0.25">
      <c r="A161" s="97" t="s">
        <v>1239</v>
      </c>
      <c r="B161" s="97" t="s">
        <v>1240</v>
      </c>
      <c r="C161" s="97"/>
      <c r="D161" s="97">
        <v>2269</v>
      </c>
      <c r="E161" s="97"/>
      <c r="F161" s="97" t="s">
        <v>1241</v>
      </c>
      <c r="G161" s="132" t="str">
        <f t="shared" si="20"/>
        <v>19/1/2004</v>
      </c>
      <c r="H161" s="133">
        <v>19</v>
      </c>
      <c r="I161" s="133">
        <v>1</v>
      </c>
      <c r="J161" s="134">
        <v>2004</v>
      </c>
      <c r="K161" s="97" t="s">
        <v>56</v>
      </c>
      <c r="L161" s="97" t="s">
        <v>1242</v>
      </c>
      <c r="M161" s="97" t="s">
        <v>796</v>
      </c>
      <c r="N161" s="311">
        <v>7236.13</v>
      </c>
      <c r="O161" s="311" t="s">
        <v>976</v>
      </c>
      <c r="Q161" s="245">
        <v>10</v>
      </c>
      <c r="R161" s="30">
        <v>0</v>
      </c>
      <c r="S161" s="5">
        <v>7235.130000000001</v>
      </c>
      <c r="T161" s="5">
        <v>7235.130000000001</v>
      </c>
      <c r="U161" s="15">
        <f t="shared" si="17"/>
        <v>0</v>
      </c>
      <c r="V161" s="313">
        <f t="shared" si="15"/>
        <v>0.99999999999909051</v>
      </c>
      <c r="W161" s="245">
        <v>2983</v>
      </c>
      <c r="X161" s="312"/>
      <c r="Y161" s="313"/>
      <c r="Z161" s="114">
        <f t="shared" si="16"/>
        <v>120</v>
      </c>
    </row>
    <row r="162" spans="1:26" s="245" customFormat="1" x14ac:dyDescent="0.25">
      <c r="A162" s="97" t="s">
        <v>1243</v>
      </c>
      <c r="B162" s="97" t="s">
        <v>1240</v>
      </c>
      <c r="C162" s="97"/>
      <c r="D162" s="97">
        <v>2269</v>
      </c>
      <c r="E162" s="97"/>
      <c r="F162" s="97" t="s">
        <v>1241</v>
      </c>
      <c r="G162" s="132" t="str">
        <f t="shared" si="20"/>
        <v>19/1/2004</v>
      </c>
      <c r="H162" s="133">
        <v>19</v>
      </c>
      <c r="I162" s="133">
        <v>1</v>
      </c>
      <c r="J162" s="134">
        <v>2004</v>
      </c>
      <c r="K162" s="97" t="s">
        <v>56</v>
      </c>
      <c r="L162" s="97" t="s">
        <v>1242</v>
      </c>
      <c r="M162" s="97" t="s">
        <v>796</v>
      </c>
      <c r="N162" s="311">
        <v>7236.13</v>
      </c>
      <c r="O162" s="311" t="s">
        <v>1002</v>
      </c>
      <c r="Q162" s="245">
        <v>10</v>
      </c>
      <c r="R162" s="30">
        <v>0</v>
      </c>
      <c r="S162" s="5">
        <v>7235.130000000001</v>
      </c>
      <c r="T162" s="5">
        <v>7235.130000000001</v>
      </c>
      <c r="U162" s="15">
        <f t="shared" si="17"/>
        <v>0</v>
      </c>
      <c r="V162" s="313">
        <f t="shared" si="15"/>
        <v>0.99999999999909051</v>
      </c>
      <c r="W162" s="245">
        <v>2983</v>
      </c>
      <c r="X162" s="312"/>
      <c r="Y162" s="313"/>
      <c r="Z162" s="114">
        <f t="shared" si="16"/>
        <v>120</v>
      </c>
    </row>
    <row r="163" spans="1:26" s="245" customFormat="1" x14ac:dyDescent="0.25">
      <c r="A163" s="97" t="s">
        <v>1244</v>
      </c>
      <c r="B163" s="97" t="s">
        <v>1240</v>
      </c>
      <c r="C163" s="97"/>
      <c r="D163" s="97">
        <v>2269</v>
      </c>
      <c r="E163" s="97"/>
      <c r="F163" s="97" t="s">
        <v>1241</v>
      </c>
      <c r="G163" s="132" t="str">
        <f t="shared" si="20"/>
        <v>19/1/2004</v>
      </c>
      <c r="H163" s="133">
        <v>19</v>
      </c>
      <c r="I163" s="133">
        <v>1</v>
      </c>
      <c r="J163" s="134">
        <v>2004</v>
      </c>
      <c r="K163" s="97" t="s">
        <v>56</v>
      </c>
      <c r="L163" s="97" t="s">
        <v>1242</v>
      </c>
      <c r="M163" s="97" t="s">
        <v>796</v>
      </c>
      <c r="N163" s="311">
        <v>7236.13</v>
      </c>
      <c r="O163" s="311"/>
      <c r="Q163" s="245">
        <v>10</v>
      </c>
      <c r="R163" s="30">
        <v>0</v>
      </c>
      <c r="S163" s="5">
        <v>7235.130000000001</v>
      </c>
      <c r="T163" s="5">
        <v>7235.130000000001</v>
      </c>
      <c r="U163" s="15">
        <f t="shared" si="17"/>
        <v>0</v>
      </c>
      <c r="V163" s="313">
        <f t="shared" si="15"/>
        <v>0.99999999999909051</v>
      </c>
      <c r="W163" s="245">
        <v>2983</v>
      </c>
      <c r="X163" s="312"/>
      <c r="Y163" s="313"/>
      <c r="Z163" s="114">
        <f t="shared" si="16"/>
        <v>120</v>
      </c>
    </row>
    <row r="164" spans="1:26" s="245" customFormat="1" x14ac:dyDescent="0.25">
      <c r="A164" s="97" t="s">
        <v>1245</v>
      </c>
      <c r="B164" s="97" t="s">
        <v>1240</v>
      </c>
      <c r="C164" s="97"/>
      <c r="D164" s="97">
        <v>2269</v>
      </c>
      <c r="E164" s="97"/>
      <c r="F164" s="97" t="s">
        <v>1241</v>
      </c>
      <c r="G164" s="132" t="str">
        <f t="shared" si="20"/>
        <v>19/1/2004</v>
      </c>
      <c r="H164" s="133">
        <v>19</v>
      </c>
      <c r="I164" s="133">
        <v>1</v>
      </c>
      <c r="J164" s="134">
        <v>2004</v>
      </c>
      <c r="K164" s="97" t="s">
        <v>56</v>
      </c>
      <c r="L164" s="97" t="s">
        <v>1242</v>
      </c>
      <c r="M164" s="97" t="s">
        <v>796</v>
      </c>
      <c r="N164" s="311">
        <v>7236.13</v>
      </c>
      <c r="O164" s="311"/>
      <c r="Q164" s="245">
        <v>10</v>
      </c>
      <c r="R164" s="30">
        <v>0</v>
      </c>
      <c r="S164" s="5">
        <v>7235.130000000001</v>
      </c>
      <c r="T164" s="5">
        <v>7235.130000000001</v>
      </c>
      <c r="U164" s="15">
        <f t="shared" si="17"/>
        <v>0</v>
      </c>
      <c r="V164" s="313">
        <f t="shared" si="15"/>
        <v>0.99999999999909051</v>
      </c>
      <c r="W164" s="245">
        <v>2983</v>
      </c>
      <c r="X164" s="312"/>
      <c r="Y164" s="313"/>
      <c r="Z164" s="114">
        <f t="shared" si="16"/>
        <v>120</v>
      </c>
    </row>
    <row r="165" spans="1:26" s="245" customFormat="1" x14ac:dyDescent="0.25">
      <c r="A165" s="97" t="s">
        <v>1246</v>
      </c>
      <c r="B165" s="97" t="s">
        <v>1240</v>
      </c>
      <c r="C165" s="97"/>
      <c r="D165" s="97">
        <v>2269</v>
      </c>
      <c r="E165" s="97"/>
      <c r="F165" s="97" t="s">
        <v>1241</v>
      </c>
      <c r="G165" s="132" t="str">
        <f t="shared" si="20"/>
        <v>19/1/2004</v>
      </c>
      <c r="H165" s="133">
        <v>19</v>
      </c>
      <c r="I165" s="133">
        <v>1</v>
      </c>
      <c r="J165" s="134">
        <v>2004</v>
      </c>
      <c r="K165" s="97" t="s">
        <v>56</v>
      </c>
      <c r="L165" s="97" t="s">
        <v>1242</v>
      </c>
      <c r="M165" s="97" t="s">
        <v>796</v>
      </c>
      <c r="N165" s="311">
        <v>7236.13</v>
      </c>
      <c r="O165" s="311"/>
      <c r="Q165" s="245">
        <v>10</v>
      </c>
      <c r="R165" s="30">
        <v>0</v>
      </c>
      <c r="S165" s="5">
        <v>7235.130000000001</v>
      </c>
      <c r="T165" s="5">
        <v>7235.130000000001</v>
      </c>
      <c r="U165" s="15">
        <f t="shared" si="17"/>
        <v>0</v>
      </c>
      <c r="V165" s="313">
        <f t="shared" si="15"/>
        <v>0.99999999999909051</v>
      </c>
      <c r="W165" s="245">
        <v>2983</v>
      </c>
      <c r="X165" s="312"/>
      <c r="Y165" s="313"/>
      <c r="Z165" s="114">
        <f t="shared" si="16"/>
        <v>120</v>
      </c>
    </row>
    <row r="166" spans="1:26" s="245" customFormat="1" x14ac:dyDescent="0.25">
      <c r="A166" s="97" t="s">
        <v>1247</v>
      </c>
      <c r="B166" s="97" t="s">
        <v>1240</v>
      </c>
      <c r="C166" s="97"/>
      <c r="D166" s="97">
        <v>2269</v>
      </c>
      <c r="E166" s="97"/>
      <c r="F166" s="97" t="s">
        <v>1241</v>
      </c>
      <c r="G166" s="132" t="str">
        <f t="shared" si="20"/>
        <v>19/1/2004</v>
      </c>
      <c r="H166" s="133">
        <v>19</v>
      </c>
      <c r="I166" s="133">
        <v>1</v>
      </c>
      <c r="J166" s="134">
        <v>2004</v>
      </c>
      <c r="K166" s="97" t="s">
        <v>56</v>
      </c>
      <c r="L166" s="97" t="s">
        <v>1242</v>
      </c>
      <c r="M166" s="97" t="s">
        <v>796</v>
      </c>
      <c r="N166" s="311">
        <v>7236.13</v>
      </c>
      <c r="O166" s="311"/>
      <c r="Q166" s="245">
        <v>10</v>
      </c>
      <c r="R166" s="30">
        <v>0</v>
      </c>
      <c r="S166" s="5">
        <v>7235.130000000001</v>
      </c>
      <c r="T166" s="5">
        <v>7235.130000000001</v>
      </c>
      <c r="U166" s="15">
        <f t="shared" si="17"/>
        <v>0</v>
      </c>
      <c r="V166" s="313">
        <f t="shared" si="15"/>
        <v>0.99999999999909051</v>
      </c>
      <c r="W166" s="245">
        <v>2983</v>
      </c>
      <c r="X166" s="312"/>
      <c r="Y166" s="313"/>
      <c r="Z166" s="114">
        <f t="shared" si="16"/>
        <v>120</v>
      </c>
    </row>
    <row r="167" spans="1:26" s="245" customFormat="1" x14ac:dyDescent="0.25">
      <c r="A167" s="97" t="s">
        <v>1248</v>
      </c>
      <c r="B167" s="97" t="s">
        <v>1240</v>
      </c>
      <c r="C167" s="97"/>
      <c r="D167" s="97">
        <v>2269</v>
      </c>
      <c r="E167" s="97"/>
      <c r="F167" s="97" t="s">
        <v>1241</v>
      </c>
      <c r="G167" s="132" t="str">
        <f t="shared" si="20"/>
        <v>19/1/2004</v>
      </c>
      <c r="H167" s="133">
        <v>19</v>
      </c>
      <c r="I167" s="133">
        <v>1</v>
      </c>
      <c r="J167" s="134">
        <v>2004</v>
      </c>
      <c r="K167" s="97" t="s">
        <v>56</v>
      </c>
      <c r="L167" s="97" t="s">
        <v>1242</v>
      </c>
      <c r="M167" s="97" t="s">
        <v>796</v>
      </c>
      <c r="N167" s="311">
        <v>7236.13</v>
      </c>
      <c r="O167" s="311"/>
      <c r="Q167" s="245">
        <v>10</v>
      </c>
      <c r="R167" s="30">
        <v>0</v>
      </c>
      <c r="S167" s="5">
        <v>7235.130000000001</v>
      </c>
      <c r="T167" s="5">
        <v>7235.130000000001</v>
      </c>
      <c r="U167" s="15">
        <f t="shared" si="17"/>
        <v>0</v>
      </c>
      <c r="V167" s="313">
        <f t="shared" ref="V167:V198" si="21">N167-T167</f>
        <v>0.99999999999909051</v>
      </c>
      <c r="W167" s="245">
        <v>2983</v>
      </c>
      <c r="X167" s="312"/>
      <c r="Y167" s="313"/>
      <c r="Z167" s="114">
        <f t="shared" si="16"/>
        <v>120</v>
      </c>
    </row>
    <row r="168" spans="1:26" s="245" customFormat="1" x14ac:dyDescent="0.25">
      <c r="A168" s="97" t="s">
        <v>1249</v>
      </c>
      <c r="B168" s="97" t="s">
        <v>1240</v>
      </c>
      <c r="C168" s="97"/>
      <c r="D168" s="97">
        <v>2269</v>
      </c>
      <c r="E168" s="97"/>
      <c r="F168" s="97" t="s">
        <v>1241</v>
      </c>
      <c r="G168" s="132" t="str">
        <f t="shared" si="20"/>
        <v>19/1/2004</v>
      </c>
      <c r="H168" s="133">
        <v>19</v>
      </c>
      <c r="I168" s="133">
        <v>1</v>
      </c>
      <c r="J168" s="134">
        <v>2004</v>
      </c>
      <c r="K168" s="97" t="s">
        <v>56</v>
      </c>
      <c r="L168" s="97" t="s">
        <v>1242</v>
      </c>
      <c r="M168" s="97" t="s">
        <v>796</v>
      </c>
      <c r="N168" s="311">
        <v>7236.13</v>
      </c>
      <c r="O168" s="311"/>
      <c r="Q168" s="245">
        <v>10</v>
      </c>
      <c r="R168" s="30">
        <v>0</v>
      </c>
      <c r="S168" s="5">
        <v>7235.130000000001</v>
      </c>
      <c r="T168" s="5">
        <v>7235.130000000001</v>
      </c>
      <c r="U168" s="15">
        <f t="shared" si="17"/>
        <v>0</v>
      </c>
      <c r="V168" s="313">
        <f t="shared" si="21"/>
        <v>0.99999999999909051</v>
      </c>
      <c r="W168" s="245">
        <v>2983</v>
      </c>
      <c r="X168" s="312"/>
      <c r="Y168" s="313"/>
      <c r="Z168" s="114">
        <f t="shared" si="16"/>
        <v>120</v>
      </c>
    </row>
    <row r="169" spans="1:26" s="245" customFormat="1" x14ac:dyDescent="0.25">
      <c r="A169" s="97" t="s">
        <v>1250</v>
      </c>
      <c r="B169" s="97" t="s">
        <v>1240</v>
      </c>
      <c r="C169" s="97"/>
      <c r="D169" s="97">
        <v>2269</v>
      </c>
      <c r="E169" s="97"/>
      <c r="F169" s="97" t="s">
        <v>1241</v>
      </c>
      <c r="G169" s="132" t="str">
        <f t="shared" si="20"/>
        <v>19/1/2004</v>
      </c>
      <c r="H169" s="133">
        <v>19</v>
      </c>
      <c r="I169" s="133">
        <v>1</v>
      </c>
      <c r="J169" s="134">
        <v>2004</v>
      </c>
      <c r="K169" s="97" t="s">
        <v>56</v>
      </c>
      <c r="L169" s="97" t="s">
        <v>1242</v>
      </c>
      <c r="M169" s="97" t="s">
        <v>796</v>
      </c>
      <c r="N169" s="311">
        <v>7236.13</v>
      </c>
      <c r="O169" s="311"/>
      <c r="Q169" s="245">
        <v>10</v>
      </c>
      <c r="R169" s="30">
        <v>0</v>
      </c>
      <c r="S169" s="5">
        <v>7235.130000000001</v>
      </c>
      <c r="T169" s="5">
        <v>7235.130000000001</v>
      </c>
      <c r="U169" s="15">
        <f t="shared" si="17"/>
        <v>0</v>
      </c>
      <c r="V169" s="313">
        <f t="shared" si="21"/>
        <v>0.99999999999909051</v>
      </c>
      <c r="W169" s="245">
        <v>2983</v>
      </c>
      <c r="X169" s="312"/>
      <c r="Y169" s="313"/>
      <c r="Z169" s="114">
        <f t="shared" si="16"/>
        <v>120</v>
      </c>
    </row>
    <row r="170" spans="1:26" s="245" customFormat="1" x14ac:dyDescent="0.25">
      <c r="A170" s="97" t="s">
        <v>1251</v>
      </c>
      <c r="B170" s="97" t="s">
        <v>1240</v>
      </c>
      <c r="C170" s="97"/>
      <c r="D170" s="97">
        <v>2269</v>
      </c>
      <c r="E170" s="97"/>
      <c r="F170" s="97" t="s">
        <v>1241</v>
      </c>
      <c r="G170" s="132" t="str">
        <f t="shared" si="20"/>
        <v>19/1/2004</v>
      </c>
      <c r="H170" s="133">
        <v>19</v>
      </c>
      <c r="I170" s="133">
        <v>1</v>
      </c>
      <c r="J170" s="134">
        <v>2004</v>
      </c>
      <c r="K170" s="97" t="s">
        <v>56</v>
      </c>
      <c r="L170" s="97" t="s">
        <v>1242</v>
      </c>
      <c r="M170" s="97" t="s">
        <v>796</v>
      </c>
      <c r="N170" s="311">
        <v>7236.13</v>
      </c>
      <c r="O170" s="311"/>
      <c r="Q170" s="245">
        <v>10</v>
      </c>
      <c r="R170" s="30">
        <v>0</v>
      </c>
      <c r="S170" s="5">
        <v>7235.130000000001</v>
      </c>
      <c r="T170" s="5">
        <v>7235.130000000001</v>
      </c>
      <c r="U170" s="15">
        <f t="shared" si="17"/>
        <v>0</v>
      </c>
      <c r="V170" s="313">
        <f t="shared" si="21"/>
        <v>0.99999999999909051</v>
      </c>
      <c r="W170" s="245">
        <v>2983</v>
      </c>
      <c r="X170" s="312"/>
      <c r="Y170" s="313"/>
      <c r="Z170" s="114">
        <f t="shared" si="16"/>
        <v>120</v>
      </c>
    </row>
    <row r="171" spans="1:26" s="245" customFormat="1" ht="14.25" customHeight="1" x14ac:dyDescent="0.25">
      <c r="A171" s="97" t="s">
        <v>1252</v>
      </c>
      <c r="B171" s="97" t="s">
        <v>1240</v>
      </c>
      <c r="C171" s="97"/>
      <c r="D171" s="97">
        <v>2269</v>
      </c>
      <c r="E171" s="97"/>
      <c r="F171" s="97" t="s">
        <v>1241</v>
      </c>
      <c r="G171" s="132" t="str">
        <f t="shared" si="20"/>
        <v>19/1/2004</v>
      </c>
      <c r="H171" s="133">
        <v>19</v>
      </c>
      <c r="I171" s="133">
        <v>1</v>
      </c>
      <c r="J171" s="134">
        <v>2004</v>
      </c>
      <c r="K171" s="97" t="s">
        <v>56</v>
      </c>
      <c r="L171" s="97" t="s">
        <v>1242</v>
      </c>
      <c r="M171" s="97" t="s">
        <v>796</v>
      </c>
      <c r="N171" s="311">
        <v>7236.13</v>
      </c>
      <c r="O171" s="311"/>
      <c r="Q171" s="245">
        <v>10</v>
      </c>
      <c r="R171" s="30">
        <v>0</v>
      </c>
      <c r="S171" s="5">
        <v>7235.130000000001</v>
      </c>
      <c r="T171" s="5">
        <v>7235.130000000001</v>
      </c>
      <c r="U171" s="15">
        <f t="shared" si="17"/>
        <v>0</v>
      </c>
      <c r="V171" s="313">
        <f t="shared" si="21"/>
        <v>0.99999999999909051</v>
      </c>
      <c r="W171" s="245">
        <v>2983</v>
      </c>
      <c r="X171" s="312"/>
      <c r="Y171" s="313"/>
      <c r="Z171" s="114">
        <f t="shared" si="16"/>
        <v>120</v>
      </c>
    </row>
    <row r="172" spans="1:26" s="245" customFormat="1" x14ac:dyDescent="0.25">
      <c r="A172" s="148" t="s">
        <v>1253</v>
      </c>
      <c r="B172" s="148" t="s">
        <v>1240</v>
      </c>
      <c r="C172" s="148"/>
      <c r="D172" s="148">
        <v>2269</v>
      </c>
      <c r="E172" s="148"/>
      <c r="F172" s="148" t="s">
        <v>1241</v>
      </c>
      <c r="G172" s="149" t="str">
        <f t="shared" si="20"/>
        <v>19/1/2004</v>
      </c>
      <c r="H172" s="150">
        <v>19</v>
      </c>
      <c r="I172" s="150">
        <v>1</v>
      </c>
      <c r="J172" s="151">
        <v>2004</v>
      </c>
      <c r="K172" s="148" t="s">
        <v>56</v>
      </c>
      <c r="L172" s="148" t="s">
        <v>1242</v>
      </c>
      <c r="M172" s="148" t="s">
        <v>796</v>
      </c>
      <c r="N172" s="317">
        <v>7236.13</v>
      </c>
      <c r="O172" s="311" t="s">
        <v>1019</v>
      </c>
      <c r="Q172" s="318">
        <v>10</v>
      </c>
      <c r="R172" s="30">
        <v>0</v>
      </c>
      <c r="S172" s="5">
        <v>7235.130000000001</v>
      </c>
      <c r="T172" s="5">
        <v>7235.130000000001</v>
      </c>
      <c r="U172" s="15">
        <f t="shared" si="17"/>
        <v>0</v>
      </c>
      <c r="V172" s="319">
        <f t="shared" si="21"/>
        <v>0.99999999999909051</v>
      </c>
      <c r="W172" s="318">
        <v>2983</v>
      </c>
      <c r="X172" s="320"/>
      <c r="Y172" s="319"/>
      <c r="Z172" s="155">
        <f t="shared" si="16"/>
        <v>120</v>
      </c>
    </row>
    <row r="173" spans="1:26" s="245" customFormat="1" x14ac:dyDescent="0.25">
      <c r="A173" s="97" t="s">
        <v>1254</v>
      </c>
      <c r="B173" s="97" t="s">
        <v>1240</v>
      </c>
      <c r="C173" s="97"/>
      <c r="D173" s="97">
        <v>2269</v>
      </c>
      <c r="E173" s="97"/>
      <c r="F173" s="97" t="s">
        <v>1241</v>
      </c>
      <c r="G173" s="132" t="str">
        <f t="shared" si="20"/>
        <v>19/1/2004</v>
      </c>
      <c r="H173" s="133">
        <v>19</v>
      </c>
      <c r="I173" s="133">
        <v>1</v>
      </c>
      <c r="J173" s="134">
        <v>2004</v>
      </c>
      <c r="K173" s="97" t="s">
        <v>56</v>
      </c>
      <c r="L173" s="97" t="s">
        <v>1242</v>
      </c>
      <c r="M173" s="97" t="s">
        <v>796</v>
      </c>
      <c r="N173" s="311">
        <v>7236.13</v>
      </c>
      <c r="O173" s="311"/>
      <c r="Q173" s="245">
        <v>10</v>
      </c>
      <c r="R173" s="30">
        <v>0</v>
      </c>
      <c r="S173" s="5">
        <v>7235.130000000001</v>
      </c>
      <c r="T173" s="5">
        <v>7235.130000000001</v>
      </c>
      <c r="U173" s="15">
        <f t="shared" si="17"/>
        <v>0</v>
      </c>
      <c r="V173" s="313">
        <f t="shared" si="21"/>
        <v>0.99999999999909051</v>
      </c>
      <c r="W173" s="245">
        <v>2983</v>
      </c>
      <c r="X173" s="312"/>
      <c r="Y173" s="313"/>
      <c r="Z173" s="114">
        <f t="shared" si="16"/>
        <v>120</v>
      </c>
    </row>
    <row r="174" spans="1:26" s="245" customFormat="1" x14ac:dyDescent="0.25">
      <c r="A174" s="148" t="s">
        <v>1255</v>
      </c>
      <c r="B174" s="148" t="s">
        <v>1240</v>
      </c>
      <c r="C174" s="148"/>
      <c r="D174" s="148">
        <v>2269</v>
      </c>
      <c r="E174" s="148"/>
      <c r="F174" s="148" t="s">
        <v>1241</v>
      </c>
      <c r="G174" s="149" t="str">
        <f t="shared" si="20"/>
        <v>19/1/2004</v>
      </c>
      <c r="H174" s="150">
        <v>19</v>
      </c>
      <c r="I174" s="150">
        <v>1</v>
      </c>
      <c r="J174" s="151">
        <v>2004</v>
      </c>
      <c r="K174" s="148" t="s">
        <v>56</v>
      </c>
      <c r="L174" s="148" t="s">
        <v>1242</v>
      </c>
      <c r="M174" s="148" t="s">
        <v>796</v>
      </c>
      <c r="N174" s="317">
        <v>7236.13</v>
      </c>
      <c r="O174" s="311" t="s">
        <v>1019</v>
      </c>
      <c r="Q174" s="318">
        <v>10</v>
      </c>
      <c r="R174" s="30">
        <v>0</v>
      </c>
      <c r="S174" s="5">
        <v>7235.130000000001</v>
      </c>
      <c r="T174" s="5">
        <v>7235.130000000001</v>
      </c>
      <c r="U174" s="15">
        <f t="shared" si="17"/>
        <v>0</v>
      </c>
      <c r="V174" s="319">
        <f t="shared" si="21"/>
        <v>0.99999999999909051</v>
      </c>
      <c r="W174" s="318">
        <v>2983</v>
      </c>
      <c r="X174" s="320"/>
      <c r="Y174" s="319"/>
      <c r="Z174" s="155">
        <f t="shared" si="16"/>
        <v>120</v>
      </c>
    </row>
    <row r="175" spans="1:26" s="245" customFormat="1" x14ac:dyDescent="0.25">
      <c r="A175" s="97" t="s">
        <v>1256</v>
      </c>
      <c r="B175" s="97" t="s">
        <v>1240</v>
      </c>
      <c r="C175" s="97"/>
      <c r="D175" s="97">
        <v>2269</v>
      </c>
      <c r="E175" s="97"/>
      <c r="F175" s="97" t="s">
        <v>1241</v>
      </c>
      <c r="G175" s="132" t="str">
        <f t="shared" si="20"/>
        <v>19/1/2004</v>
      </c>
      <c r="H175" s="133">
        <v>19</v>
      </c>
      <c r="I175" s="133">
        <v>1</v>
      </c>
      <c r="J175" s="134">
        <v>2004</v>
      </c>
      <c r="K175" s="97" t="s">
        <v>56</v>
      </c>
      <c r="L175" s="97" t="s">
        <v>1242</v>
      </c>
      <c r="M175" s="97" t="s">
        <v>796</v>
      </c>
      <c r="N175" s="311">
        <v>7236.13</v>
      </c>
      <c r="O175" s="311"/>
      <c r="Q175" s="245">
        <v>10</v>
      </c>
      <c r="R175" s="30">
        <v>0</v>
      </c>
      <c r="S175" s="5">
        <v>7235.130000000001</v>
      </c>
      <c r="T175" s="5">
        <v>7235.130000000001</v>
      </c>
      <c r="U175" s="15">
        <f t="shared" si="17"/>
        <v>0</v>
      </c>
      <c r="V175" s="313">
        <f t="shared" si="21"/>
        <v>0.99999999999909051</v>
      </c>
      <c r="W175" s="245">
        <v>2983</v>
      </c>
      <c r="X175" s="312"/>
      <c r="Y175" s="313"/>
      <c r="Z175" s="114">
        <f t="shared" si="16"/>
        <v>120</v>
      </c>
    </row>
    <row r="176" spans="1:26" s="245" customFormat="1" x14ac:dyDescent="0.25">
      <c r="A176" s="97" t="s">
        <v>1257</v>
      </c>
      <c r="B176" s="97" t="s">
        <v>1240</v>
      </c>
      <c r="C176" s="97"/>
      <c r="D176" s="97">
        <v>2269</v>
      </c>
      <c r="E176" s="97"/>
      <c r="F176" s="97" t="s">
        <v>1241</v>
      </c>
      <c r="G176" s="132" t="str">
        <f t="shared" si="20"/>
        <v>19/1/2004</v>
      </c>
      <c r="H176" s="133">
        <v>19</v>
      </c>
      <c r="I176" s="133">
        <v>1</v>
      </c>
      <c r="J176" s="134">
        <v>2004</v>
      </c>
      <c r="K176" s="97" t="s">
        <v>56</v>
      </c>
      <c r="L176" s="97" t="s">
        <v>1242</v>
      </c>
      <c r="M176" s="97" t="s">
        <v>796</v>
      </c>
      <c r="N176" s="311">
        <v>7236.13</v>
      </c>
      <c r="O176" s="311"/>
      <c r="Q176" s="245">
        <v>10</v>
      </c>
      <c r="R176" s="30">
        <v>0</v>
      </c>
      <c r="S176" s="5">
        <v>7235.130000000001</v>
      </c>
      <c r="T176" s="5">
        <v>7235.130000000001</v>
      </c>
      <c r="U176" s="15">
        <f t="shared" si="17"/>
        <v>0</v>
      </c>
      <c r="V176" s="313">
        <f t="shared" si="21"/>
        <v>0.99999999999909051</v>
      </c>
      <c r="W176" s="245">
        <v>2983</v>
      </c>
      <c r="X176" s="312"/>
      <c r="Y176" s="313"/>
      <c r="Z176" s="114">
        <f t="shared" si="16"/>
        <v>120</v>
      </c>
    </row>
    <row r="177" spans="1:26" s="245" customFormat="1" x14ac:dyDescent="0.25">
      <c r="A177" s="97" t="s">
        <v>1258</v>
      </c>
      <c r="B177" s="97" t="s">
        <v>1240</v>
      </c>
      <c r="C177" s="97"/>
      <c r="D177" s="97">
        <v>2269</v>
      </c>
      <c r="E177" s="97"/>
      <c r="F177" s="97" t="s">
        <v>1241</v>
      </c>
      <c r="G177" s="132" t="str">
        <f t="shared" si="20"/>
        <v>19/1/2004</v>
      </c>
      <c r="H177" s="133">
        <v>19</v>
      </c>
      <c r="I177" s="133">
        <v>1</v>
      </c>
      <c r="J177" s="134">
        <v>2004</v>
      </c>
      <c r="K177" s="97" t="s">
        <v>56</v>
      </c>
      <c r="L177" s="97" t="s">
        <v>1242</v>
      </c>
      <c r="M177" s="97" t="s">
        <v>796</v>
      </c>
      <c r="N177" s="311">
        <v>7236.13</v>
      </c>
      <c r="O177" s="311"/>
      <c r="Q177" s="245">
        <v>10</v>
      </c>
      <c r="R177" s="30">
        <v>0</v>
      </c>
      <c r="S177" s="5">
        <v>7235.130000000001</v>
      </c>
      <c r="T177" s="5">
        <v>7235.130000000001</v>
      </c>
      <c r="U177" s="15">
        <f t="shared" si="17"/>
        <v>0</v>
      </c>
      <c r="V177" s="313">
        <f t="shared" si="21"/>
        <v>0.99999999999909051</v>
      </c>
      <c r="W177" s="245">
        <v>2983</v>
      </c>
      <c r="X177" s="312"/>
      <c r="Y177" s="313"/>
      <c r="Z177" s="114">
        <f t="shared" si="16"/>
        <v>120</v>
      </c>
    </row>
    <row r="178" spans="1:26" s="245" customFormat="1" x14ac:dyDescent="0.25">
      <c r="A178" s="97" t="s">
        <v>1259</v>
      </c>
      <c r="B178" s="97" t="s">
        <v>1240</v>
      </c>
      <c r="C178" s="97"/>
      <c r="D178" s="97">
        <v>2269</v>
      </c>
      <c r="E178" s="97"/>
      <c r="F178" s="97" t="s">
        <v>1241</v>
      </c>
      <c r="G178" s="132" t="str">
        <f t="shared" si="20"/>
        <v>19/1/2004</v>
      </c>
      <c r="H178" s="133">
        <v>19</v>
      </c>
      <c r="I178" s="133">
        <v>1</v>
      </c>
      <c r="J178" s="134">
        <v>2004</v>
      </c>
      <c r="K178" s="97" t="s">
        <v>56</v>
      </c>
      <c r="L178" s="97" t="s">
        <v>1242</v>
      </c>
      <c r="M178" s="97" t="s">
        <v>796</v>
      </c>
      <c r="N178" s="311">
        <v>7236.13</v>
      </c>
      <c r="O178" s="311"/>
      <c r="Q178" s="245">
        <v>10</v>
      </c>
      <c r="R178" s="30">
        <v>0</v>
      </c>
      <c r="S178" s="5">
        <v>7235.130000000001</v>
      </c>
      <c r="T178" s="5">
        <v>7235.130000000001</v>
      </c>
      <c r="U178" s="15">
        <f t="shared" si="17"/>
        <v>0</v>
      </c>
      <c r="V178" s="313">
        <f t="shared" si="21"/>
        <v>0.99999999999909051</v>
      </c>
      <c r="W178" s="245">
        <v>2983</v>
      </c>
      <c r="X178" s="312"/>
      <c r="Y178" s="313"/>
      <c r="Z178" s="114">
        <f t="shared" si="16"/>
        <v>120</v>
      </c>
    </row>
    <row r="179" spans="1:26" s="245" customFormat="1" x14ac:dyDescent="0.25">
      <c r="A179" s="97" t="s">
        <v>1260</v>
      </c>
      <c r="B179" s="97" t="s">
        <v>1240</v>
      </c>
      <c r="C179" s="97"/>
      <c r="D179" s="97">
        <v>2269</v>
      </c>
      <c r="E179" s="97"/>
      <c r="F179" s="97" t="s">
        <v>1241</v>
      </c>
      <c r="G179" s="132" t="str">
        <f t="shared" si="20"/>
        <v>19/1/2004</v>
      </c>
      <c r="H179" s="133">
        <v>19</v>
      </c>
      <c r="I179" s="133">
        <v>1</v>
      </c>
      <c r="J179" s="134">
        <v>2004</v>
      </c>
      <c r="K179" s="97" t="s">
        <v>56</v>
      </c>
      <c r="L179" s="97" t="s">
        <v>1242</v>
      </c>
      <c r="M179" s="97" t="s">
        <v>796</v>
      </c>
      <c r="N179" s="311">
        <v>7236.13</v>
      </c>
      <c r="O179" s="311"/>
      <c r="Q179" s="245">
        <v>10</v>
      </c>
      <c r="R179" s="30">
        <v>0</v>
      </c>
      <c r="S179" s="5">
        <v>7235.130000000001</v>
      </c>
      <c r="T179" s="5">
        <v>7235.130000000001</v>
      </c>
      <c r="U179" s="15">
        <f t="shared" si="17"/>
        <v>0</v>
      </c>
      <c r="V179" s="313">
        <f t="shared" si="21"/>
        <v>0.99999999999909051</v>
      </c>
      <c r="W179" s="245">
        <v>2983</v>
      </c>
      <c r="X179" s="312"/>
      <c r="Y179" s="313"/>
      <c r="Z179" s="114">
        <f t="shared" si="16"/>
        <v>120</v>
      </c>
    </row>
    <row r="180" spans="1:26" s="245" customFormat="1" x14ac:dyDescent="0.25">
      <c r="A180" s="148" t="s">
        <v>1261</v>
      </c>
      <c r="B180" s="148" t="s">
        <v>1240</v>
      </c>
      <c r="C180" s="148"/>
      <c r="D180" s="148">
        <v>2269</v>
      </c>
      <c r="E180" s="148"/>
      <c r="F180" s="148" t="s">
        <v>1241</v>
      </c>
      <c r="G180" s="149" t="str">
        <f t="shared" si="20"/>
        <v>19/1/2004</v>
      </c>
      <c r="H180" s="150">
        <v>19</v>
      </c>
      <c r="I180" s="150">
        <v>1</v>
      </c>
      <c r="J180" s="151">
        <v>2004</v>
      </c>
      <c r="K180" s="148" t="s">
        <v>56</v>
      </c>
      <c r="L180" s="148" t="s">
        <v>1242</v>
      </c>
      <c r="M180" s="148" t="s">
        <v>796</v>
      </c>
      <c r="N180" s="317">
        <v>7236.13</v>
      </c>
      <c r="O180" s="311" t="s">
        <v>1019</v>
      </c>
      <c r="Q180" s="318">
        <v>10</v>
      </c>
      <c r="R180" s="30">
        <v>0</v>
      </c>
      <c r="S180" s="5">
        <v>7235.130000000001</v>
      </c>
      <c r="T180" s="5">
        <v>7235.130000000001</v>
      </c>
      <c r="U180" s="15">
        <f t="shared" si="17"/>
        <v>0</v>
      </c>
      <c r="V180" s="319">
        <f t="shared" si="21"/>
        <v>0.99999999999909051</v>
      </c>
      <c r="W180" s="318">
        <v>2983</v>
      </c>
      <c r="X180" s="320"/>
      <c r="Y180" s="319"/>
      <c r="Z180" s="155">
        <f t="shared" si="16"/>
        <v>120</v>
      </c>
    </row>
    <row r="181" spans="1:26" s="245" customFormat="1" x14ac:dyDescent="0.25">
      <c r="A181" s="97" t="s">
        <v>1262</v>
      </c>
      <c r="B181" s="97" t="s">
        <v>1240</v>
      </c>
      <c r="C181" s="97"/>
      <c r="D181" s="97">
        <v>2269</v>
      </c>
      <c r="E181" s="97"/>
      <c r="F181" s="97" t="s">
        <v>1241</v>
      </c>
      <c r="G181" s="132" t="str">
        <f t="shared" si="20"/>
        <v>19/1/2004</v>
      </c>
      <c r="H181" s="133">
        <v>19</v>
      </c>
      <c r="I181" s="133">
        <v>1</v>
      </c>
      <c r="J181" s="134">
        <v>2004</v>
      </c>
      <c r="K181" s="97" t="s">
        <v>56</v>
      </c>
      <c r="L181" s="97" t="s">
        <v>1242</v>
      </c>
      <c r="M181" s="97" t="s">
        <v>796</v>
      </c>
      <c r="N181" s="311">
        <v>7236.13</v>
      </c>
      <c r="O181" s="311"/>
      <c r="Q181" s="245">
        <v>10</v>
      </c>
      <c r="R181" s="30">
        <v>0</v>
      </c>
      <c r="S181" s="5">
        <v>7235.130000000001</v>
      </c>
      <c r="T181" s="5">
        <v>7235.130000000001</v>
      </c>
      <c r="U181" s="15">
        <f t="shared" si="17"/>
        <v>0</v>
      </c>
      <c r="V181" s="313">
        <f t="shared" si="21"/>
        <v>0.99999999999909051</v>
      </c>
      <c r="W181" s="245">
        <v>2983</v>
      </c>
      <c r="X181" s="312"/>
      <c r="Y181" s="313"/>
      <c r="Z181" s="114">
        <f t="shared" si="16"/>
        <v>120</v>
      </c>
    </row>
    <row r="182" spans="1:26" s="245" customFormat="1" x14ac:dyDescent="0.25">
      <c r="A182" s="97" t="s">
        <v>1263</v>
      </c>
      <c r="B182" s="97" t="s">
        <v>1240</v>
      </c>
      <c r="C182" s="97"/>
      <c r="D182" s="97">
        <v>2269</v>
      </c>
      <c r="E182" s="97"/>
      <c r="F182" s="97" t="s">
        <v>1241</v>
      </c>
      <c r="G182" s="132" t="str">
        <f t="shared" si="20"/>
        <v>19/1/2004</v>
      </c>
      <c r="H182" s="133">
        <v>19</v>
      </c>
      <c r="I182" s="133">
        <v>1</v>
      </c>
      <c r="J182" s="134">
        <v>2004</v>
      </c>
      <c r="K182" s="97" t="s">
        <v>56</v>
      </c>
      <c r="L182" s="97" t="s">
        <v>1242</v>
      </c>
      <c r="M182" s="97" t="s">
        <v>796</v>
      </c>
      <c r="N182" s="311">
        <v>7236.13</v>
      </c>
      <c r="O182" s="311"/>
      <c r="Q182" s="245">
        <v>10</v>
      </c>
      <c r="R182" s="30">
        <v>0</v>
      </c>
      <c r="S182" s="5">
        <v>7235.130000000001</v>
      </c>
      <c r="T182" s="5">
        <v>7235.130000000001</v>
      </c>
      <c r="U182" s="15">
        <f t="shared" si="17"/>
        <v>0</v>
      </c>
      <c r="V182" s="313">
        <f t="shared" si="21"/>
        <v>0.99999999999909051</v>
      </c>
      <c r="W182" s="245">
        <v>2983</v>
      </c>
      <c r="X182" s="312"/>
      <c r="Y182" s="313"/>
      <c r="Z182" s="114">
        <f t="shared" si="16"/>
        <v>120</v>
      </c>
    </row>
    <row r="183" spans="1:26" s="245" customFormat="1" x14ac:dyDescent="0.25">
      <c r="A183" s="97" t="s">
        <v>1264</v>
      </c>
      <c r="B183" s="97" t="s">
        <v>1240</v>
      </c>
      <c r="C183" s="97"/>
      <c r="D183" s="97">
        <v>2269</v>
      </c>
      <c r="E183" s="97"/>
      <c r="F183" s="97" t="s">
        <v>1241</v>
      </c>
      <c r="G183" s="132" t="str">
        <f t="shared" si="20"/>
        <v>19/1/2004</v>
      </c>
      <c r="H183" s="133">
        <v>19</v>
      </c>
      <c r="I183" s="133">
        <v>1</v>
      </c>
      <c r="J183" s="134">
        <v>2004</v>
      </c>
      <c r="K183" s="97" t="s">
        <v>56</v>
      </c>
      <c r="L183" s="97" t="s">
        <v>1242</v>
      </c>
      <c r="M183" s="97" t="s">
        <v>796</v>
      </c>
      <c r="N183" s="311">
        <v>7236.13</v>
      </c>
      <c r="O183" s="311"/>
      <c r="Q183" s="245">
        <v>10</v>
      </c>
      <c r="R183" s="30">
        <v>0</v>
      </c>
      <c r="S183" s="5">
        <v>7235.130000000001</v>
      </c>
      <c r="T183" s="5">
        <v>7235.130000000001</v>
      </c>
      <c r="U183" s="15">
        <f t="shared" si="17"/>
        <v>0</v>
      </c>
      <c r="V183" s="313">
        <f t="shared" si="21"/>
        <v>0.99999999999909051</v>
      </c>
      <c r="W183" s="245">
        <v>2983</v>
      </c>
      <c r="X183" s="312"/>
      <c r="Y183" s="313"/>
      <c r="Z183" s="114">
        <f t="shared" si="16"/>
        <v>120</v>
      </c>
    </row>
    <row r="184" spans="1:26" s="245" customFormat="1" x14ac:dyDescent="0.25">
      <c r="A184" s="97" t="s">
        <v>1265</v>
      </c>
      <c r="B184" s="97" t="s">
        <v>1240</v>
      </c>
      <c r="C184" s="97"/>
      <c r="D184" s="97">
        <v>2269</v>
      </c>
      <c r="E184" s="97"/>
      <c r="F184" s="97" t="s">
        <v>1241</v>
      </c>
      <c r="G184" s="132" t="str">
        <f t="shared" si="20"/>
        <v>19/1/2004</v>
      </c>
      <c r="H184" s="133">
        <v>19</v>
      </c>
      <c r="I184" s="133">
        <v>1</v>
      </c>
      <c r="J184" s="134">
        <v>2004</v>
      </c>
      <c r="K184" s="97" t="s">
        <v>56</v>
      </c>
      <c r="L184" s="97" t="s">
        <v>1242</v>
      </c>
      <c r="M184" s="97" t="s">
        <v>796</v>
      </c>
      <c r="N184" s="311">
        <v>7236.13</v>
      </c>
      <c r="O184" s="311"/>
      <c r="Q184" s="245">
        <v>10</v>
      </c>
      <c r="R184" s="30">
        <v>0</v>
      </c>
      <c r="S184" s="5">
        <v>7235.130000000001</v>
      </c>
      <c r="T184" s="5">
        <v>7235.130000000001</v>
      </c>
      <c r="U184" s="15">
        <f t="shared" si="17"/>
        <v>0</v>
      </c>
      <c r="V184" s="313">
        <f t="shared" si="21"/>
        <v>0.99999999999909051</v>
      </c>
      <c r="W184" s="245">
        <v>2983</v>
      </c>
      <c r="X184" s="312"/>
      <c r="Y184" s="313"/>
      <c r="Z184" s="114">
        <f t="shared" si="16"/>
        <v>120</v>
      </c>
    </row>
    <row r="185" spans="1:26" s="245" customFormat="1" x14ac:dyDescent="0.25">
      <c r="A185" s="97" t="s">
        <v>1266</v>
      </c>
      <c r="B185" s="97" t="s">
        <v>1240</v>
      </c>
      <c r="C185" s="97"/>
      <c r="D185" s="97">
        <v>2269</v>
      </c>
      <c r="E185" s="97"/>
      <c r="F185" s="97" t="s">
        <v>1241</v>
      </c>
      <c r="G185" s="132" t="str">
        <f t="shared" si="20"/>
        <v>19/1/2004</v>
      </c>
      <c r="H185" s="133">
        <v>19</v>
      </c>
      <c r="I185" s="133">
        <v>1</v>
      </c>
      <c r="J185" s="134">
        <v>2004</v>
      </c>
      <c r="K185" s="97" t="s">
        <v>56</v>
      </c>
      <c r="L185" s="97" t="s">
        <v>1242</v>
      </c>
      <c r="M185" s="97" t="s">
        <v>796</v>
      </c>
      <c r="N185" s="311">
        <v>7236.13</v>
      </c>
      <c r="O185" s="311"/>
      <c r="Q185" s="245">
        <v>10</v>
      </c>
      <c r="R185" s="30">
        <v>0</v>
      </c>
      <c r="S185" s="5">
        <v>7235.130000000001</v>
      </c>
      <c r="T185" s="5">
        <v>7235.130000000001</v>
      </c>
      <c r="U185" s="15">
        <f t="shared" si="17"/>
        <v>0</v>
      </c>
      <c r="V185" s="313">
        <f t="shared" si="21"/>
        <v>0.99999999999909051</v>
      </c>
      <c r="W185" s="245">
        <v>2983</v>
      </c>
      <c r="X185" s="312"/>
      <c r="Y185" s="313"/>
      <c r="Z185" s="114">
        <f t="shared" si="16"/>
        <v>120</v>
      </c>
    </row>
    <row r="186" spans="1:26" s="245" customFormat="1" x14ac:dyDescent="0.25">
      <c r="A186" s="97" t="s">
        <v>1267</v>
      </c>
      <c r="B186" s="97" t="s">
        <v>1240</v>
      </c>
      <c r="C186" s="97"/>
      <c r="D186" s="97">
        <v>2269</v>
      </c>
      <c r="E186" s="97"/>
      <c r="F186" s="97" t="s">
        <v>1241</v>
      </c>
      <c r="G186" s="132" t="str">
        <f t="shared" si="20"/>
        <v>19/1/2004</v>
      </c>
      <c r="H186" s="133">
        <v>19</v>
      </c>
      <c r="I186" s="133">
        <v>1</v>
      </c>
      <c r="J186" s="134">
        <v>2004</v>
      </c>
      <c r="K186" s="97" t="s">
        <v>56</v>
      </c>
      <c r="L186" s="97" t="s">
        <v>1242</v>
      </c>
      <c r="M186" s="97" t="s">
        <v>796</v>
      </c>
      <c r="N186" s="311">
        <v>7236.13</v>
      </c>
      <c r="O186" s="311"/>
      <c r="Q186" s="245">
        <v>10</v>
      </c>
      <c r="R186" s="30">
        <v>0</v>
      </c>
      <c r="S186" s="5">
        <v>7235.130000000001</v>
      </c>
      <c r="T186" s="5">
        <v>7235.130000000001</v>
      </c>
      <c r="U186" s="15">
        <f t="shared" si="17"/>
        <v>0</v>
      </c>
      <c r="V186" s="313">
        <f t="shared" si="21"/>
        <v>0.99999999999909051</v>
      </c>
      <c r="W186" s="245">
        <v>2983</v>
      </c>
      <c r="X186" s="312"/>
      <c r="Y186" s="313"/>
      <c r="Z186" s="114">
        <f t="shared" si="16"/>
        <v>120</v>
      </c>
    </row>
    <row r="187" spans="1:26" s="245" customFormat="1" x14ac:dyDescent="0.25">
      <c r="A187" s="97" t="s">
        <v>1268</v>
      </c>
      <c r="B187" s="97" t="s">
        <v>1240</v>
      </c>
      <c r="C187" s="97"/>
      <c r="D187" s="97">
        <v>2269</v>
      </c>
      <c r="E187" s="97"/>
      <c r="F187" s="97" t="s">
        <v>1241</v>
      </c>
      <c r="G187" s="132" t="str">
        <f t="shared" si="20"/>
        <v>19/1/2004</v>
      </c>
      <c r="H187" s="133">
        <v>19</v>
      </c>
      <c r="I187" s="133">
        <v>1</v>
      </c>
      <c r="J187" s="134">
        <v>2004</v>
      </c>
      <c r="K187" s="97" t="s">
        <v>56</v>
      </c>
      <c r="L187" s="97" t="s">
        <v>1242</v>
      </c>
      <c r="M187" s="97" t="s">
        <v>796</v>
      </c>
      <c r="N187" s="311">
        <v>7236.13</v>
      </c>
      <c r="O187" s="311"/>
      <c r="Q187" s="245">
        <v>10</v>
      </c>
      <c r="R187" s="30">
        <v>0</v>
      </c>
      <c r="S187" s="5">
        <v>7235.130000000001</v>
      </c>
      <c r="T187" s="5">
        <v>7235.130000000001</v>
      </c>
      <c r="U187" s="15">
        <f t="shared" si="17"/>
        <v>0</v>
      </c>
      <c r="V187" s="313">
        <f t="shared" si="21"/>
        <v>0.99999999999909051</v>
      </c>
      <c r="W187" s="245">
        <v>2983</v>
      </c>
      <c r="X187" s="312"/>
      <c r="Y187" s="313"/>
      <c r="Z187" s="114">
        <f t="shared" si="16"/>
        <v>120</v>
      </c>
    </row>
    <row r="188" spans="1:26" s="245" customFormat="1" x14ac:dyDescent="0.25">
      <c r="A188" s="97" t="s">
        <v>1269</v>
      </c>
      <c r="B188" s="97" t="s">
        <v>1240</v>
      </c>
      <c r="C188" s="97"/>
      <c r="D188" s="97">
        <v>2269</v>
      </c>
      <c r="E188" s="97"/>
      <c r="F188" s="97" t="s">
        <v>1241</v>
      </c>
      <c r="G188" s="132" t="str">
        <f t="shared" si="20"/>
        <v>19/1/2004</v>
      </c>
      <c r="H188" s="133">
        <v>19</v>
      </c>
      <c r="I188" s="133">
        <v>1</v>
      </c>
      <c r="J188" s="134">
        <v>2004</v>
      </c>
      <c r="K188" s="97" t="s">
        <v>56</v>
      </c>
      <c r="L188" s="97" t="s">
        <v>1242</v>
      </c>
      <c r="M188" s="97" t="s">
        <v>796</v>
      </c>
      <c r="N188" s="311">
        <v>7236.13</v>
      </c>
      <c r="O188" s="311"/>
      <c r="Q188" s="245">
        <v>10</v>
      </c>
      <c r="R188" s="30">
        <v>0</v>
      </c>
      <c r="S188" s="5">
        <v>7235.130000000001</v>
      </c>
      <c r="T188" s="5">
        <v>7235.130000000001</v>
      </c>
      <c r="U188" s="15">
        <f t="shared" si="17"/>
        <v>0</v>
      </c>
      <c r="V188" s="313">
        <f t="shared" si="21"/>
        <v>0.99999999999909051</v>
      </c>
      <c r="W188" s="245">
        <v>2983</v>
      </c>
      <c r="X188" s="312"/>
      <c r="Y188" s="313"/>
      <c r="Z188" s="114">
        <f t="shared" si="16"/>
        <v>120</v>
      </c>
    </row>
    <row r="189" spans="1:26" s="245" customFormat="1" x14ac:dyDescent="0.25">
      <c r="A189" s="148" t="s">
        <v>1270</v>
      </c>
      <c r="B189" s="148" t="s">
        <v>1240</v>
      </c>
      <c r="C189" s="148"/>
      <c r="D189" s="148">
        <v>2269</v>
      </c>
      <c r="E189" s="148"/>
      <c r="F189" s="148" t="s">
        <v>1241</v>
      </c>
      <c r="G189" s="149" t="str">
        <f t="shared" si="20"/>
        <v>19/1/2004</v>
      </c>
      <c r="H189" s="150">
        <v>19</v>
      </c>
      <c r="I189" s="150">
        <v>1</v>
      </c>
      <c r="J189" s="151">
        <v>2004</v>
      </c>
      <c r="K189" s="148" t="s">
        <v>56</v>
      </c>
      <c r="L189" s="148" t="s">
        <v>1242</v>
      </c>
      <c r="M189" s="148" t="s">
        <v>796</v>
      </c>
      <c r="N189" s="317">
        <v>7236.13</v>
      </c>
      <c r="O189" s="311" t="s">
        <v>1019</v>
      </c>
      <c r="Q189" s="318">
        <v>10</v>
      </c>
      <c r="R189" s="30">
        <v>0</v>
      </c>
      <c r="S189" s="5">
        <v>7235.130000000001</v>
      </c>
      <c r="T189" s="5">
        <v>7235.130000000001</v>
      </c>
      <c r="U189" s="15">
        <f t="shared" si="17"/>
        <v>0</v>
      </c>
      <c r="V189" s="319">
        <f t="shared" si="21"/>
        <v>0.99999999999909051</v>
      </c>
      <c r="W189" s="318">
        <v>2983</v>
      </c>
      <c r="X189" s="320"/>
      <c r="Y189" s="319"/>
      <c r="Z189" s="155">
        <f t="shared" si="16"/>
        <v>120</v>
      </c>
    </row>
    <row r="190" spans="1:26" s="245" customFormat="1" x14ac:dyDescent="0.25">
      <c r="A190" s="97" t="s">
        <v>1271</v>
      </c>
      <c r="B190" s="97" t="s">
        <v>1240</v>
      </c>
      <c r="C190" s="97"/>
      <c r="D190" s="97">
        <v>2269</v>
      </c>
      <c r="E190" s="97"/>
      <c r="F190" s="97" t="s">
        <v>1241</v>
      </c>
      <c r="G190" s="132" t="str">
        <f t="shared" si="20"/>
        <v>19/1/2004</v>
      </c>
      <c r="H190" s="133">
        <v>19</v>
      </c>
      <c r="I190" s="133">
        <v>1</v>
      </c>
      <c r="J190" s="134">
        <v>2004</v>
      </c>
      <c r="K190" s="97" t="s">
        <v>56</v>
      </c>
      <c r="L190" s="97" t="s">
        <v>1242</v>
      </c>
      <c r="M190" s="97" t="s">
        <v>796</v>
      </c>
      <c r="N190" s="311">
        <v>7236.13</v>
      </c>
      <c r="O190" s="311"/>
      <c r="Q190" s="245">
        <v>10</v>
      </c>
      <c r="R190" s="30">
        <v>0</v>
      </c>
      <c r="S190" s="5">
        <v>7235.130000000001</v>
      </c>
      <c r="T190" s="5">
        <v>7235.130000000001</v>
      </c>
      <c r="U190" s="15">
        <f t="shared" si="17"/>
        <v>0</v>
      </c>
      <c r="V190" s="313">
        <f t="shared" si="21"/>
        <v>0.99999999999909051</v>
      </c>
      <c r="W190" s="245">
        <v>2983</v>
      </c>
      <c r="X190" s="312"/>
      <c r="Y190" s="313"/>
      <c r="Z190" s="114">
        <f t="shared" si="16"/>
        <v>120</v>
      </c>
    </row>
    <row r="191" spans="1:26" s="245" customFormat="1" x14ac:dyDescent="0.25">
      <c r="A191" s="97" t="s">
        <v>1272</v>
      </c>
      <c r="B191" s="97" t="s">
        <v>1240</v>
      </c>
      <c r="C191" s="97"/>
      <c r="D191" s="97">
        <v>2269</v>
      </c>
      <c r="E191" s="97"/>
      <c r="F191" s="97" t="s">
        <v>1241</v>
      </c>
      <c r="G191" s="132" t="str">
        <f t="shared" si="20"/>
        <v>19/1/2004</v>
      </c>
      <c r="H191" s="133">
        <v>19</v>
      </c>
      <c r="I191" s="133">
        <v>1</v>
      </c>
      <c r="J191" s="134">
        <v>2004</v>
      </c>
      <c r="K191" s="97" t="s">
        <v>56</v>
      </c>
      <c r="L191" s="97" t="s">
        <v>1242</v>
      </c>
      <c r="M191" s="97" t="s">
        <v>796</v>
      </c>
      <c r="N191" s="311">
        <v>7236.13</v>
      </c>
      <c r="O191" s="311"/>
      <c r="Q191" s="245">
        <v>10</v>
      </c>
      <c r="R191" s="30">
        <v>0</v>
      </c>
      <c r="S191" s="5">
        <v>7235.130000000001</v>
      </c>
      <c r="T191" s="5">
        <v>7235.130000000001</v>
      </c>
      <c r="U191" s="15">
        <f t="shared" si="17"/>
        <v>0</v>
      </c>
      <c r="V191" s="313">
        <f t="shared" si="21"/>
        <v>0.99999999999909051</v>
      </c>
      <c r="W191" s="245">
        <v>2983</v>
      </c>
      <c r="X191" s="312"/>
      <c r="Y191" s="313"/>
      <c r="Z191" s="114">
        <f t="shared" si="16"/>
        <v>120</v>
      </c>
    </row>
    <row r="192" spans="1:26" s="194" customFormat="1" x14ac:dyDescent="0.25">
      <c r="A192" s="97" t="s">
        <v>1273</v>
      </c>
      <c r="B192" s="97" t="s">
        <v>1240</v>
      </c>
      <c r="C192" s="97"/>
      <c r="D192" s="97">
        <v>2269</v>
      </c>
      <c r="E192" s="97"/>
      <c r="F192" s="97" t="s">
        <v>1241</v>
      </c>
      <c r="G192" s="132" t="str">
        <f t="shared" si="20"/>
        <v>19/1/2004</v>
      </c>
      <c r="H192" s="133">
        <v>19</v>
      </c>
      <c r="I192" s="133">
        <v>1</v>
      </c>
      <c r="J192" s="134">
        <v>2004</v>
      </c>
      <c r="K192" s="97" t="s">
        <v>56</v>
      </c>
      <c r="L192" s="97" t="s">
        <v>1242</v>
      </c>
      <c r="M192" s="97" t="s">
        <v>796</v>
      </c>
      <c r="N192" s="311">
        <v>7236.13</v>
      </c>
      <c r="O192" s="311"/>
      <c r="P192" s="245"/>
      <c r="Q192" s="245">
        <v>10</v>
      </c>
      <c r="R192" s="30">
        <v>0</v>
      </c>
      <c r="S192" s="5">
        <v>7235.130000000001</v>
      </c>
      <c r="T192" s="5">
        <v>7235.130000000001</v>
      </c>
      <c r="U192" s="15">
        <f t="shared" si="17"/>
        <v>0</v>
      </c>
      <c r="V192" s="313">
        <f t="shared" si="21"/>
        <v>0.99999999999909051</v>
      </c>
      <c r="W192" s="245">
        <v>2983</v>
      </c>
      <c r="X192" s="312"/>
      <c r="Y192" s="313"/>
      <c r="Z192" s="114">
        <f t="shared" si="16"/>
        <v>120</v>
      </c>
    </row>
    <row r="193" spans="1:26" s="195" customFormat="1" x14ac:dyDescent="0.25">
      <c r="A193" s="97" t="s">
        <v>1274</v>
      </c>
      <c r="B193" s="97" t="s">
        <v>1240</v>
      </c>
      <c r="C193" s="97"/>
      <c r="D193" s="97">
        <v>2269</v>
      </c>
      <c r="E193" s="97"/>
      <c r="F193" s="97" t="s">
        <v>1241</v>
      </c>
      <c r="G193" s="132" t="str">
        <f t="shared" si="20"/>
        <v>19/1/2004</v>
      </c>
      <c r="H193" s="133">
        <v>19</v>
      </c>
      <c r="I193" s="133">
        <v>1</v>
      </c>
      <c r="J193" s="134">
        <v>2004</v>
      </c>
      <c r="K193" s="97" t="s">
        <v>56</v>
      </c>
      <c r="L193" s="97" t="s">
        <v>1242</v>
      </c>
      <c r="M193" s="97" t="s">
        <v>796</v>
      </c>
      <c r="N193" s="311">
        <v>7236.13</v>
      </c>
      <c r="O193" s="311"/>
      <c r="P193" s="245"/>
      <c r="Q193" s="245">
        <v>10</v>
      </c>
      <c r="R193" s="30">
        <v>0</v>
      </c>
      <c r="S193" s="5">
        <v>7235.130000000001</v>
      </c>
      <c r="T193" s="5">
        <v>7235.130000000001</v>
      </c>
      <c r="U193" s="15">
        <f t="shared" si="17"/>
        <v>0</v>
      </c>
      <c r="V193" s="313">
        <f t="shared" si="21"/>
        <v>0.99999999999909051</v>
      </c>
      <c r="W193" s="245">
        <v>2983</v>
      </c>
      <c r="X193" s="312"/>
      <c r="Y193" s="313"/>
      <c r="Z193" s="114">
        <f t="shared" si="16"/>
        <v>120</v>
      </c>
    </row>
    <row r="194" spans="1:26" s="245" customFormat="1" x14ac:dyDescent="0.25">
      <c r="A194" s="97" t="s">
        <v>1275</v>
      </c>
      <c r="B194" s="97" t="s">
        <v>1240</v>
      </c>
      <c r="C194" s="97"/>
      <c r="D194" s="97">
        <v>2269</v>
      </c>
      <c r="E194" s="97"/>
      <c r="F194" s="97" t="s">
        <v>1241</v>
      </c>
      <c r="G194" s="132" t="str">
        <f t="shared" si="20"/>
        <v>19/1/2004</v>
      </c>
      <c r="H194" s="133">
        <v>19</v>
      </c>
      <c r="I194" s="133">
        <v>1</v>
      </c>
      <c r="J194" s="134">
        <v>2004</v>
      </c>
      <c r="K194" s="97" t="s">
        <v>56</v>
      </c>
      <c r="L194" s="97" t="s">
        <v>1242</v>
      </c>
      <c r="M194" s="97" t="s">
        <v>796</v>
      </c>
      <c r="N194" s="311">
        <v>7236.13</v>
      </c>
      <c r="O194" s="311" t="s">
        <v>1276</v>
      </c>
      <c r="Q194" s="245">
        <v>10</v>
      </c>
      <c r="R194" s="30">
        <v>0</v>
      </c>
      <c r="S194" s="5">
        <v>7235.130000000001</v>
      </c>
      <c r="T194" s="5">
        <v>7235.130000000001</v>
      </c>
      <c r="U194" s="15">
        <f t="shared" si="17"/>
        <v>0</v>
      </c>
      <c r="V194" s="313">
        <f t="shared" si="21"/>
        <v>0.99999999999909051</v>
      </c>
      <c r="W194" s="245">
        <v>2983</v>
      </c>
      <c r="X194" s="312"/>
      <c r="Y194" s="313"/>
      <c r="Z194" s="114">
        <f t="shared" si="16"/>
        <v>120</v>
      </c>
    </row>
    <row r="195" spans="1:26" s="245" customFormat="1" x14ac:dyDescent="0.25">
      <c r="A195" s="97" t="s">
        <v>1277</v>
      </c>
      <c r="B195" s="97" t="s">
        <v>1240</v>
      </c>
      <c r="C195" s="97"/>
      <c r="D195" s="97">
        <v>2269</v>
      </c>
      <c r="E195" s="97"/>
      <c r="F195" s="97" t="s">
        <v>1241</v>
      </c>
      <c r="G195" s="132" t="str">
        <f t="shared" si="20"/>
        <v>19/1/2004</v>
      </c>
      <c r="H195" s="133">
        <v>19</v>
      </c>
      <c r="I195" s="133">
        <v>1</v>
      </c>
      <c r="J195" s="134">
        <v>2004</v>
      </c>
      <c r="K195" s="97" t="s">
        <v>56</v>
      </c>
      <c r="L195" s="97" t="s">
        <v>1242</v>
      </c>
      <c r="M195" s="97" t="s">
        <v>796</v>
      </c>
      <c r="N195" s="311">
        <v>7236.13</v>
      </c>
      <c r="O195" s="311"/>
      <c r="Q195" s="245">
        <v>10</v>
      </c>
      <c r="R195" s="30">
        <v>0</v>
      </c>
      <c r="S195" s="5">
        <v>7235.130000000001</v>
      </c>
      <c r="T195" s="5">
        <v>7235.130000000001</v>
      </c>
      <c r="U195" s="15">
        <f t="shared" si="17"/>
        <v>0</v>
      </c>
      <c r="V195" s="313">
        <f t="shared" si="21"/>
        <v>0.99999999999909051</v>
      </c>
      <c r="W195" s="245">
        <v>2983</v>
      </c>
      <c r="X195" s="312"/>
      <c r="Y195" s="313"/>
      <c r="Z195" s="114">
        <f t="shared" si="16"/>
        <v>120</v>
      </c>
    </row>
    <row r="196" spans="1:26" s="245" customFormat="1" x14ac:dyDescent="0.25">
      <c r="A196" s="97" t="s">
        <v>1278</v>
      </c>
      <c r="B196" s="97" t="s">
        <v>1240</v>
      </c>
      <c r="C196" s="97"/>
      <c r="D196" s="97">
        <v>2269</v>
      </c>
      <c r="E196" s="97"/>
      <c r="F196" s="97" t="s">
        <v>1241</v>
      </c>
      <c r="G196" s="132" t="str">
        <f t="shared" si="20"/>
        <v>19/1/2004</v>
      </c>
      <c r="H196" s="133">
        <v>19</v>
      </c>
      <c r="I196" s="133">
        <v>1</v>
      </c>
      <c r="J196" s="134">
        <v>2004</v>
      </c>
      <c r="K196" s="97" t="s">
        <v>56</v>
      </c>
      <c r="L196" s="97" t="s">
        <v>1242</v>
      </c>
      <c r="M196" s="97" t="s">
        <v>796</v>
      </c>
      <c r="N196" s="311">
        <v>7236.13</v>
      </c>
      <c r="O196" s="311"/>
      <c r="Q196" s="245">
        <v>10</v>
      </c>
      <c r="R196" s="30">
        <v>0</v>
      </c>
      <c r="S196" s="5">
        <v>7235.130000000001</v>
      </c>
      <c r="T196" s="5">
        <v>7235.130000000001</v>
      </c>
      <c r="U196" s="15">
        <f t="shared" si="17"/>
        <v>0</v>
      </c>
      <c r="V196" s="313">
        <f t="shared" si="21"/>
        <v>0.99999999999909051</v>
      </c>
      <c r="W196" s="245">
        <v>2983</v>
      </c>
      <c r="X196" s="312"/>
      <c r="Y196" s="313"/>
      <c r="Z196" s="114">
        <f t="shared" si="16"/>
        <v>120</v>
      </c>
    </row>
    <row r="197" spans="1:26" s="245" customFormat="1" x14ac:dyDescent="0.25">
      <c r="A197" s="97" t="s">
        <v>1279</v>
      </c>
      <c r="B197" s="97" t="s">
        <v>1280</v>
      </c>
      <c r="C197" s="97"/>
      <c r="D197" s="196"/>
      <c r="E197" s="97"/>
      <c r="F197" s="97" t="s">
        <v>1281</v>
      </c>
      <c r="G197" s="132" t="str">
        <f t="shared" si="20"/>
        <v>19/1/2004</v>
      </c>
      <c r="H197" s="133">
        <v>19</v>
      </c>
      <c r="I197" s="133">
        <v>1</v>
      </c>
      <c r="J197" s="134">
        <v>2004</v>
      </c>
      <c r="K197" s="97" t="s">
        <v>56</v>
      </c>
      <c r="L197" s="97">
        <v>25831</v>
      </c>
      <c r="M197" s="97" t="s">
        <v>796</v>
      </c>
      <c r="N197" s="311">
        <v>267085.89</v>
      </c>
      <c r="O197" s="311"/>
      <c r="Q197" s="245">
        <v>10</v>
      </c>
      <c r="R197" s="30">
        <v>0</v>
      </c>
      <c r="S197" s="5">
        <v>267084.89</v>
      </c>
      <c r="T197" s="5">
        <v>267084.89</v>
      </c>
      <c r="U197" s="15">
        <f t="shared" si="17"/>
        <v>0</v>
      </c>
      <c r="V197" s="313">
        <f t="shared" si="21"/>
        <v>1</v>
      </c>
      <c r="W197" s="245">
        <v>3006</v>
      </c>
      <c r="X197" s="312"/>
      <c r="Y197" s="313"/>
      <c r="Z197" s="114">
        <f t="shared" si="16"/>
        <v>120</v>
      </c>
    </row>
    <row r="198" spans="1:26" s="338" customFormat="1" x14ac:dyDescent="0.25">
      <c r="A198" s="97" t="s">
        <v>1282</v>
      </c>
      <c r="B198" s="97" t="s">
        <v>1283</v>
      </c>
      <c r="C198" s="97"/>
      <c r="D198" s="97"/>
      <c r="E198" s="97"/>
      <c r="F198" s="97" t="s">
        <v>934</v>
      </c>
      <c r="G198" s="132" t="str">
        <f t="shared" si="20"/>
        <v>28/11/2003</v>
      </c>
      <c r="H198" s="133">
        <v>28</v>
      </c>
      <c r="I198" s="133">
        <v>11</v>
      </c>
      <c r="J198" s="134">
        <v>2003</v>
      </c>
      <c r="K198" s="97" t="s">
        <v>1284</v>
      </c>
      <c r="L198" s="97">
        <v>697</v>
      </c>
      <c r="M198" s="97" t="s">
        <v>796</v>
      </c>
      <c r="N198" s="311">
        <v>1</v>
      </c>
      <c r="O198" s="311"/>
      <c r="P198" s="245"/>
      <c r="Q198" s="245">
        <v>10</v>
      </c>
      <c r="R198" s="30">
        <v>0</v>
      </c>
      <c r="S198" s="5">
        <v>0</v>
      </c>
      <c r="T198" s="5">
        <v>0</v>
      </c>
      <c r="U198" s="15">
        <f t="shared" si="17"/>
        <v>0</v>
      </c>
      <c r="V198" s="313">
        <f t="shared" si="21"/>
        <v>1</v>
      </c>
      <c r="W198" s="245">
        <v>2533</v>
      </c>
      <c r="X198" s="312"/>
      <c r="Y198" s="313"/>
      <c r="Z198" s="114">
        <f t="shared" si="16"/>
        <v>120</v>
      </c>
    </row>
    <row r="199" spans="1:26" s="245" customFormat="1" x14ac:dyDescent="0.25">
      <c r="A199" s="97" t="s">
        <v>1285</v>
      </c>
      <c r="B199" s="97" t="s">
        <v>1286</v>
      </c>
      <c r="C199" s="97"/>
      <c r="D199" s="97" t="s">
        <v>1287</v>
      </c>
      <c r="E199" s="97"/>
      <c r="F199" s="97"/>
      <c r="G199" s="132" t="str">
        <f t="shared" si="20"/>
        <v>28/11/2003</v>
      </c>
      <c r="H199" s="133">
        <v>28</v>
      </c>
      <c r="I199" s="133">
        <v>11</v>
      </c>
      <c r="J199" s="134">
        <v>2003</v>
      </c>
      <c r="K199" s="97"/>
      <c r="L199" s="97"/>
      <c r="M199" s="97" t="s">
        <v>796</v>
      </c>
      <c r="N199" s="311">
        <v>1</v>
      </c>
      <c r="O199" s="311"/>
      <c r="Q199" s="245">
        <v>10</v>
      </c>
      <c r="R199" s="30">
        <v>0</v>
      </c>
      <c r="S199" s="5">
        <v>0</v>
      </c>
      <c r="T199" s="5">
        <v>0</v>
      </c>
      <c r="U199" s="15">
        <f t="shared" si="17"/>
        <v>0</v>
      </c>
      <c r="V199" s="313">
        <v>1</v>
      </c>
      <c r="X199" s="312"/>
      <c r="Y199" s="313"/>
      <c r="Z199" s="114">
        <f t="shared" ref="Z199:Z262" si="22">IF((DATEDIF(G199,Z$4,"m"))&gt;=120,120,(DATEDIF(G199,Z$4,"m")))</f>
        <v>120</v>
      </c>
    </row>
    <row r="200" spans="1:26" s="245" customFormat="1" x14ac:dyDescent="0.25">
      <c r="A200" s="97" t="s">
        <v>1288</v>
      </c>
      <c r="B200" s="97" t="s">
        <v>1286</v>
      </c>
      <c r="C200" s="97"/>
      <c r="D200" s="97" t="s">
        <v>1287</v>
      </c>
      <c r="E200" s="97"/>
      <c r="F200" s="97"/>
      <c r="G200" s="132" t="str">
        <f t="shared" si="20"/>
        <v>28/11/2003</v>
      </c>
      <c r="H200" s="133">
        <v>28</v>
      </c>
      <c r="I200" s="133">
        <v>11</v>
      </c>
      <c r="J200" s="134">
        <v>2003</v>
      </c>
      <c r="K200" s="97"/>
      <c r="L200" s="97"/>
      <c r="M200" s="97" t="s">
        <v>796</v>
      </c>
      <c r="N200" s="311">
        <v>1</v>
      </c>
      <c r="O200" s="311"/>
      <c r="Q200" s="245">
        <v>10</v>
      </c>
      <c r="R200" s="30">
        <v>0</v>
      </c>
      <c r="S200" s="5">
        <v>0</v>
      </c>
      <c r="T200" s="5">
        <v>0</v>
      </c>
      <c r="U200" s="15">
        <f t="shared" ref="U200:U263" si="23">T200-S200</f>
        <v>0</v>
      </c>
      <c r="V200" s="313">
        <v>1</v>
      </c>
      <c r="X200" s="312"/>
      <c r="Y200" s="313"/>
      <c r="Z200" s="114">
        <f t="shared" si="22"/>
        <v>120</v>
      </c>
    </row>
    <row r="201" spans="1:26" s="318" customFormat="1" x14ac:dyDescent="0.25">
      <c r="A201" s="97" t="s">
        <v>1289</v>
      </c>
      <c r="B201" s="97" t="s">
        <v>1130</v>
      </c>
      <c r="C201" s="97"/>
      <c r="D201" s="97" t="s">
        <v>1290</v>
      </c>
      <c r="E201" s="97"/>
      <c r="F201" s="97" t="s">
        <v>914</v>
      </c>
      <c r="G201" s="132" t="str">
        <f t="shared" si="20"/>
        <v>19/12/2003</v>
      </c>
      <c r="H201" s="133">
        <v>19</v>
      </c>
      <c r="I201" s="133">
        <v>12</v>
      </c>
      <c r="J201" s="134">
        <v>2003</v>
      </c>
      <c r="K201" s="97" t="s">
        <v>56</v>
      </c>
      <c r="L201" s="97">
        <v>13767</v>
      </c>
      <c r="M201" s="97" t="s">
        <v>796</v>
      </c>
      <c r="N201" s="311">
        <v>5193.76</v>
      </c>
      <c r="O201" s="311"/>
      <c r="P201" s="245"/>
      <c r="Q201" s="245">
        <v>10</v>
      </c>
      <c r="R201" s="30">
        <v>0</v>
      </c>
      <c r="S201" s="5">
        <v>5192.76</v>
      </c>
      <c r="T201" s="5">
        <v>5192.76</v>
      </c>
      <c r="U201" s="15">
        <f t="shared" si="23"/>
        <v>0</v>
      </c>
      <c r="V201" s="313">
        <f t="shared" ref="V201:V232" si="24">N201-T201</f>
        <v>1</v>
      </c>
      <c r="W201" s="245"/>
      <c r="X201" s="312"/>
      <c r="Y201" s="313"/>
      <c r="Z201" s="114">
        <f t="shared" si="22"/>
        <v>120</v>
      </c>
    </row>
    <row r="202" spans="1:26" s="318" customFormat="1" x14ac:dyDescent="0.25">
      <c r="A202" s="97" t="s">
        <v>1291</v>
      </c>
      <c r="B202" s="97" t="s">
        <v>1130</v>
      </c>
      <c r="C202" s="97"/>
      <c r="D202" s="97" t="s">
        <v>1292</v>
      </c>
      <c r="E202" s="97"/>
      <c r="F202" s="97" t="s">
        <v>914</v>
      </c>
      <c r="G202" s="132" t="str">
        <f t="shared" si="20"/>
        <v>19/12/2003</v>
      </c>
      <c r="H202" s="133">
        <v>19</v>
      </c>
      <c r="I202" s="133">
        <v>12</v>
      </c>
      <c r="J202" s="134">
        <v>2003</v>
      </c>
      <c r="K202" s="97" t="s">
        <v>56</v>
      </c>
      <c r="L202" s="97">
        <v>13767</v>
      </c>
      <c r="M202" s="97" t="s">
        <v>796</v>
      </c>
      <c r="N202" s="311">
        <v>5193</v>
      </c>
      <c r="O202" s="311"/>
      <c r="P202" s="245"/>
      <c r="Q202" s="245">
        <v>10</v>
      </c>
      <c r="R202" s="30">
        <v>0</v>
      </c>
      <c r="S202" s="5">
        <v>5192.0000000000009</v>
      </c>
      <c r="T202" s="5">
        <v>5192.0000000000009</v>
      </c>
      <c r="U202" s="15">
        <f t="shared" si="23"/>
        <v>0</v>
      </c>
      <c r="V202" s="313">
        <f t="shared" si="24"/>
        <v>0.99999999999909051</v>
      </c>
      <c r="W202" s="245"/>
      <c r="X202" s="312"/>
      <c r="Y202" s="313"/>
      <c r="Z202" s="114">
        <f t="shared" si="22"/>
        <v>120</v>
      </c>
    </row>
    <row r="203" spans="1:26" s="318" customFormat="1" x14ac:dyDescent="0.25">
      <c r="A203" s="97" t="s">
        <v>1293</v>
      </c>
      <c r="B203" s="97" t="s">
        <v>1130</v>
      </c>
      <c r="C203" s="97"/>
      <c r="D203" s="97" t="s">
        <v>1292</v>
      </c>
      <c r="E203" s="97"/>
      <c r="F203" s="97" t="s">
        <v>914</v>
      </c>
      <c r="G203" s="132" t="str">
        <f t="shared" si="20"/>
        <v>19/12/2003</v>
      </c>
      <c r="H203" s="133">
        <v>19</v>
      </c>
      <c r="I203" s="133">
        <v>12</v>
      </c>
      <c r="J203" s="134">
        <v>2003</v>
      </c>
      <c r="K203" s="97" t="s">
        <v>56</v>
      </c>
      <c r="L203" s="97">
        <v>13767</v>
      </c>
      <c r="M203" s="97" t="s">
        <v>796</v>
      </c>
      <c r="N203" s="311">
        <v>5192.32</v>
      </c>
      <c r="O203" s="311"/>
      <c r="P203" s="245"/>
      <c r="Q203" s="245">
        <v>10</v>
      </c>
      <c r="R203" s="30">
        <v>0</v>
      </c>
      <c r="S203" s="5">
        <v>5191.32</v>
      </c>
      <c r="T203" s="5">
        <v>5191.32</v>
      </c>
      <c r="U203" s="15">
        <f t="shared" si="23"/>
        <v>0</v>
      </c>
      <c r="V203" s="313">
        <f t="shared" si="24"/>
        <v>1</v>
      </c>
      <c r="W203" s="245"/>
      <c r="X203" s="312"/>
      <c r="Y203" s="313"/>
      <c r="Z203" s="114">
        <f t="shared" si="22"/>
        <v>120</v>
      </c>
    </row>
    <row r="204" spans="1:26" s="318" customFormat="1" x14ac:dyDescent="0.25">
      <c r="A204" s="97" t="s">
        <v>1294</v>
      </c>
      <c r="B204" s="97" t="s">
        <v>1130</v>
      </c>
      <c r="C204" s="97"/>
      <c r="D204" s="97" t="s">
        <v>1292</v>
      </c>
      <c r="E204" s="97"/>
      <c r="F204" s="97" t="s">
        <v>914</v>
      </c>
      <c r="G204" s="132" t="str">
        <f t="shared" si="20"/>
        <v>19/12/2003</v>
      </c>
      <c r="H204" s="133">
        <v>19</v>
      </c>
      <c r="I204" s="133">
        <v>12</v>
      </c>
      <c r="J204" s="134">
        <v>2003</v>
      </c>
      <c r="K204" s="97" t="s">
        <v>56</v>
      </c>
      <c r="L204" s="97">
        <v>13767</v>
      </c>
      <c r="M204" s="97" t="s">
        <v>796</v>
      </c>
      <c r="N204" s="311">
        <v>5193</v>
      </c>
      <c r="O204" s="311"/>
      <c r="P204" s="245"/>
      <c r="Q204" s="245">
        <v>10</v>
      </c>
      <c r="R204" s="30">
        <v>0</v>
      </c>
      <c r="S204" s="5">
        <v>5192.0000000000009</v>
      </c>
      <c r="T204" s="5">
        <v>5192.0000000000009</v>
      </c>
      <c r="U204" s="15">
        <f t="shared" si="23"/>
        <v>0</v>
      </c>
      <c r="V204" s="313">
        <f t="shared" si="24"/>
        <v>0.99999999999909051</v>
      </c>
      <c r="W204" s="245"/>
      <c r="X204" s="312"/>
      <c r="Y204" s="313"/>
      <c r="Z204" s="114">
        <f t="shared" si="22"/>
        <v>120</v>
      </c>
    </row>
    <row r="205" spans="1:26" s="318" customFormat="1" x14ac:dyDescent="0.25">
      <c r="A205" s="97" t="s">
        <v>1295</v>
      </c>
      <c r="B205" s="97" t="s">
        <v>1130</v>
      </c>
      <c r="C205" s="97"/>
      <c r="D205" s="97" t="s">
        <v>1292</v>
      </c>
      <c r="E205" s="97"/>
      <c r="F205" s="97" t="s">
        <v>914</v>
      </c>
      <c r="G205" s="132" t="str">
        <f t="shared" si="20"/>
        <v>19/12/2003</v>
      </c>
      <c r="H205" s="133">
        <v>19</v>
      </c>
      <c r="I205" s="133">
        <v>12</v>
      </c>
      <c r="J205" s="134">
        <v>2003</v>
      </c>
      <c r="K205" s="97" t="s">
        <v>56</v>
      </c>
      <c r="L205" s="97">
        <v>13767</v>
      </c>
      <c r="M205" s="97" t="s">
        <v>796</v>
      </c>
      <c r="N205" s="311">
        <v>5193</v>
      </c>
      <c r="O205" s="311"/>
      <c r="P205" s="245"/>
      <c r="Q205" s="245">
        <v>10</v>
      </c>
      <c r="R205" s="30">
        <v>0</v>
      </c>
      <c r="S205" s="5">
        <v>5192.0000000000009</v>
      </c>
      <c r="T205" s="5">
        <v>5192.0000000000009</v>
      </c>
      <c r="U205" s="15">
        <f t="shared" si="23"/>
        <v>0</v>
      </c>
      <c r="V205" s="313">
        <f t="shared" si="24"/>
        <v>0.99999999999909051</v>
      </c>
      <c r="W205" s="245"/>
      <c r="X205" s="312"/>
      <c r="Y205" s="313"/>
      <c r="Z205" s="114">
        <f t="shared" si="22"/>
        <v>120</v>
      </c>
    </row>
    <row r="206" spans="1:26" s="318" customFormat="1" x14ac:dyDescent="0.25">
      <c r="A206" s="97" t="s">
        <v>1296</v>
      </c>
      <c r="B206" s="97" t="s">
        <v>1130</v>
      </c>
      <c r="C206" s="97"/>
      <c r="D206" s="97" t="s">
        <v>1292</v>
      </c>
      <c r="E206" s="97"/>
      <c r="F206" s="97" t="s">
        <v>914</v>
      </c>
      <c r="G206" s="132" t="str">
        <f t="shared" si="20"/>
        <v>19/12/2003</v>
      </c>
      <c r="H206" s="133">
        <v>19</v>
      </c>
      <c r="I206" s="133">
        <v>12</v>
      </c>
      <c r="J206" s="134">
        <v>2003</v>
      </c>
      <c r="K206" s="97" t="s">
        <v>56</v>
      </c>
      <c r="L206" s="97">
        <v>13767</v>
      </c>
      <c r="M206" s="97" t="s">
        <v>796</v>
      </c>
      <c r="N206" s="311">
        <v>5193</v>
      </c>
      <c r="O206" s="311"/>
      <c r="P206" s="245"/>
      <c r="Q206" s="245">
        <v>10</v>
      </c>
      <c r="R206" s="30">
        <v>0</v>
      </c>
      <c r="S206" s="5">
        <v>5192.0000000000009</v>
      </c>
      <c r="T206" s="5">
        <v>5192.0000000000009</v>
      </c>
      <c r="U206" s="15">
        <f t="shared" si="23"/>
        <v>0</v>
      </c>
      <c r="V206" s="313">
        <f t="shared" si="24"/>
        <v>0.99999999999909051</v>
      </c>
      <c r="W206" s="245"/>
      <c r="X206" s="312"/>
      <c r="Y206" s="313"/>
      <c r="Z206" s="114">
        <f t="shared" si="22"/>
        <v>120</v>
      </c>
    </row>
    <row r="207" spans="1:26" s="330" customFormat="1" x14ac:dyDescent="0.25">
      <c r="A207" s="97" t="s">
        <v>1297</v>
      </c>
      <c r="B207" s="97" t="s">
        <v>1298</v>
      </c>
      <c r="C207" s="97"/>
      <c r="D207" s="97"/>
      <c r="E207" s="97"/>
      <c r="F207" s="97" t="s">
        <v>847</v>
      </c>
      <c r="G207" s="132" t="str">
        <f t="shared" si="20"/>
        <v>27/1/2004</v>
      </c>
      <c r="H207" s="133">
        <v>27</v>
      </c>
      <c r="I207" s="133">
        <v>1</v>
      </c>
      <c r="J207" s="134">
        <v>2004</v>
      </c>
      <c r="K207" s="97" t="s">
        <v>56</v>
      </c>
      <c r="L207" s="97">
        <v>5494</v>
      </c>
      <c r="M207" s="97" t="s">
        <v>796</v>
      </c>
      <c r="N207" s="311">
        <v>3655</v>
      </c>
      <c r="O207" s="311"/>
      <c r="P207" s="245"/>
      <c r="Q207" s="245">
        <v>10</v>
      </c>
      <c r="R207" s="30">
        <v>0</v>
      </c>
      <c r="S207" s="5">
        <v>3654</v>
      </c>
      <c r="T207" s="5">
        <v>3654</v>
      </c>
      <c r="U207" s="15">
        <f t="shared" si="23"/>
        <v>0</v>
      </c>
      <c r="V207" s="313">
        <f t="shared" si="24"/>
        <v>1</v>
      </c>
      <c r="W207" s="245">
        <v>3182</v>
      </c>
      <c r="X207" s="312"/>
      <c r="Y207" s="313"/>
      <c r="Z207" s="114">
        <f t="shared" si="22"/>
        <v>120</v>
      </c>
    </row>
    <row r="208" spans="1:26" s="330" customFormat="1" x14ac:dyDescent="0.25">
      <c r="A208" s="148" t="s">
        <v>1299</v>
      </c>
      <c r="B208" s="148" t="s">
        <v>940</v>
      </c>
      <c r="C208" s="148"/>
      <c r="D208" s="148"/>
      <c r="E208" s="148"/>
      <c r="F208" s="148" t="s">
        <v>937</v>
      </c>
      <c r="G208" s="149" t="str">
        <f t="shared" si="20"/>
        <v>2/6/2004</v>
      </c>
      <c r="H208" s="150">
        <v>2</v>
      </c>
      <c r="I208" s="150">
        <v>6</v>
      </c>
      <c r="J208" s="151">
        <v>2004</v>
      </c>
      <c r="K208" s="148" t="s">
        <v>931</v>
      </c>
      <c r="L208" s="148">
        <v>841</v>
      </c>
      <c r="M208" s="148" t="s">
        <v>796</v>
      </c>
      <c r="N208" s="317">
        <v>900</v>
      </c>
      <c r="O208" s="311" t="s">
        <v>1019</v>
      </c>
      <c r="P208" s="245"/>
      <c r="Q208" s="245">
        <v>10</v>
      </c>
      <c r="R208" s="30">
        <v>0</v>
      </c>
      <c r="S208" s="5">
        <v>899</v>
      </c>
      <c r="T208" s="5">
        <v>899</v>
      </c>
      <c r="U208" s="15">
        <f t="shared" si="23"/>
        <v>0</v>
      </c>
      <c r="V208" s="319">
        <f t="shared" si="24"/>
        <v>1</v>
      </c>
      <c r="W208" s="318">
        <v>3169</v>
      </c>
      <c r="X208" s="320"/>
      <c r="Y208" s="319"/>
      <c r="Z208" s="155">
        <f t="shared" si="22"/>
        <v>120</v>
      </c>
    </row>
    <row r="209" spans="1:26" s="330" customFormat="1" x14ac:dyDescent="0.25">
      <c r="A209" s="97" t="s">
        <v>1300</v>
      </c>
      <c r="B209" s="97" t="s">
        <v>1301</v>
      </c>
      <c r="C209" s="97"/>
      <c r="D209" s="97"/>
      <c r="E209" s="97"/>
      <c r="F209" s="97"/>
      <c r="G209" s="132" t="str">
        <f t="shared" si="20"/>
        <v>2/6/2004</v>
      </c>
      <c r="H209" s="150">
        <v>2</v>
      </c>
      <c r="I209" s="150">
        <v>6</v>
      </c>
      <c r="J209" s="151">
        <v>2004</v>
      </c>
      <c r="K209" s="97"/>
      <c r="L209" s="97"/>
      <c r="M209" s="97" t="s">
        <v>796</v>
      </c>
      <c r="N209" s="311">
        <v>1</v>
      </c>
      <c r="O209" s="311" t="s">
        <v>1302</v>
      </c>
      <c r="P209" s="245"/>
      <c r="Q209" s="245">
        <v>10</v>
      </c>
      <c r="R209" s="30">
        <v>0</v>
      </c>
      <c r="S209" s="5">
        <v>0</v>
      </c>
      <c r="T209" s="5">
        <v>0</v>
      </c>
      <c r="U209" s="15">
        <f t="shared" si="23"/>
        <v>0</v>
      </c>
      <c r="V209" s="313">
        <f t="shared" si="24"/>
        <v>1</v>
      </c>
      <c r="W209" s="245"/>
      <c r="X209" s="312"/>
      <c r="Y209" s="313"/>
      <c r="Z209" s="114">
        <f t="shared" si="22"/>
        <v>120</v>
      </c>
    </row>
    <row r="210" spans="1:26" s="330" customFormat="1" x14ac:dyDescent="0.25">
      <c r="A210" s="97" t="s">
        <v>1303</v>
      </c>
      <c r="B210" s="97" t="s">
        <v>912</v>
      </c>
      <c r="C210" s="97"/>
      <c r="D210" s="97" t="s">
        <v>1304</v>
      </c>
      <c r="E210" s="97"/>
      <c r="F210" s="97" t="s">
        <v>1132</v>
      </c>
      <c r="G210" s="132" t="str">
        <f t="shared" si="20"/>
        <v>12/12/2003</v>
      </c>
      <c r="H210" s="133">
        <v>12</v>
      </c>
      <c r="I210" s="133">
        <v>12</v>
      </c>
      <c r="J210" s="134">
        <v>2003</v>
      </c>
      <c r="K210" s="97" t="s">
        <v>56</v>
      </c>
      <c r="L210" s="97">
        <v>13742</v>
      </c>
      <c r="M210" s="97" t="s">
        <v>796</v>
      </c>
      <c r="N210" s="311">
        <v>4572</v>
      </c>
      <c r="O210" s="311"/>
      <c r="P210" s="245"/>
      <c r="Q210" s="245">
        <v>10</v>
      </c>
      <c r="R210" s="30">
        <v>0</v>
      </c>
      <c r="S210" s="5">
        <v>4571</v>
      </c>
      <c r="T210" s="5">
        <v>4571</v>
      </c>
      <c r="U210" s="15">
        <f t="shared" si="23"/>
        <v>0</v>
      </c>
      <c r="V210" s="313">
        <f t="shared" si="24"/>
        <v>1</v>
      </c>
      <c r="W210" s="245">
        <v>2873</v>
      </c>
      <c r="X210" s="312"/>
      <c r="Y210" s="313"/>
      <c r="Z210" s="114">
        <f t="shared" si="22"/>
        <v>120</v>
      </c>
    </row>
    <row r="211" spans="1:26" s="318" customFormat="1" x14ac:dyDescent="0.25">
      <c r="A211" s="148" t="s">
        <v>1305</v>
      </c>
      <c r="B211" s="148" t="s">
        <v>1306</v>
      </c>
      <c r="C211" s="148"/>
      <c r="D211" s="148">
        <v>6251</v>
      </c>
      <c r="E211" s="148"/>
      <c r="F211" s="148" t="s">
        <v>1006</v>
      </c>
      <c r="G211" s="149" t="str">
        <f t="shared" si="20"/>
        <v>25/11/2003</v>
      </c>
      <c r="H211" s="150">
        <v>25</v>
      </c>
      <c r="I211" s="150">
        <v>11</v>
      </c>
      <c r="J211" s="151">
        <v>2003</v>
      </c>
      <c r="K211" s="148" t="s">
        <v>56</v>
      </c>
      <c r="L211" s="148" t="s">
        <v>1307</v>
      </c>
      <c r="M211" s="148" t="s">
        <v>796</v>
      </c>
      <c r="N211" s="17">
        <v>24864</v>
      </c>
      <c r="O211" s="187" t="s">
        <v>1308</v>
      </c>
      <c r="P211" s="316"/>
      <c r="Q211" s="245">
        <v>10</v>
      </c>
      <c r="R211" s="30">
        <v>0</v>
      </c>
      <c r="S211" s="5">
        <v>24863.000000000004</v>
      </c>
      <c r="T211" s="5">
        <v>24863.000000000004</v>
      </c>
      <c r="U211" s="15">
        <f t="shared" si="23"/>
        <v>0</v>
      </c>
      <c r="V211" s="319">
        <f t="shared" si="24"/>
        <v>0.99999999999636202</v>
      </c>
      <c r="W211" s="318">
        <v>2504</v>
      </c>
      <c r="X211" s="320"/>
      <c r="Y211" s="319"/>
      <c r="Z211" s="155">
        <f t="shared" si="22"/>
        <v>120</v>
      </c>
    </row>
    <row r="212" spans="1:26" s="330" customFormat="1" x14ac:dyDescent="0.25">
      <c r="A212" s="148" t="s">
        <v>1309</v>
      </c>
      <c r="B212" s="148" t="str">
        <f>+B211</f>
        <v>Sofá para 2 personas tapizado en piel color negro</v>
      </c>
      <c r="C212" s="148"/>
      <c r="D212" s="148">
        <v>6251</v>
      </c>
      <c r="E212" s="148"/>
      <c r="F212" s="148" t="s">
        <v>1006</v>
      </c>
      <c r="G212" s="149" t="str">
        <f t="shared" si="20"/>
        <v>25/11/2003</v>
      </c>
      <c r="H212" s="150">
        <v>25</v>
      </c>
      <c r="I212" s="150">
        <v>11</v>
      </c>
      <c r="J212" s="151">
        <v>2003</v>
      </c>
      <c r="K212" s="148" t="s">
        <v>56</v>
      </c>
      <c r="L212" s="148" t="s">
        <v>1307</v>
      </c>
      <c r="M212" s="148" t="s">
        <v>796</v>
      </c>
      <c r="N212" s="17">
        <v>24864</v>
      </c>
      <c r="O212" s="186"/>
      <c r="P212" s="316"/>
      <c r="Q212" s="245">
        <v>10</v>
      </c>
      <c r="R212" s="30">
        <v>0</v>
      </c>
      <c r="S212" s="5">
        <v>24863.000000000004</v>
      </c>
      <c r="T212" s="5">
        <v>24863.000000000004</v>
      </c>
      <c r="U212" s="15">
        <f t="shared" si="23"/>
        <v>0</v>
      </c>
      <c r="V212" s="319">
        <f t="shared" si="24"/>
        <v>0.99999999999636202</v>
      </c>
      <c r="W212" s="318">
        <v>2504</v>
      </c>
      <c r="X212" s="320"/>
      <c r="Y212" s="319"/>
      <c r="Z212" s="155">
        <f t="shared" si="22"/>
        <v>120</v>
      </c>
    </row>
    <row r="213" spans="1:26" s="330" customFormat="1" ht="17.25" customHeight="1" x14ac:dyDescent="0.25">
      <c r="A213" s="196" t="s">
        <v>1310</v>
      </c>
      <c r="B213" s="196" t="s">
        <v>1311</v>
      </c>
      <c r="C213" s="196"/>
      <c r="D213" s="196" t="s">
        <v>1312</v>
      </c>
      <c r="E213" s="196"/>
      <c r="F213" s="196"/>
      <c r="G213" s="132" t="str">
        <f t="shared" si="20"/>
        <v>25/11/2003</v>
      </c>
      <c r="H213" s="150">
        <v>25</v>
      </c>
      <c r="I213" s="150">
        <v>11</v>
      </c>
      <c r="J213" s="151">
        <v>2003</v>
      </c>
      <c r="K213" s="196"/>
      <c r="L213" s="196"/>
      <c r="M213" s="196" t="s">
        <v>796</v>
      </c>
      <c r="N213" s="197">
        <v>1</v>
      </c>
      <c r="O213" s="198" t="s">
        <v>1313</v>
      </c>
      <c r="P213" s="199"/>
      <c r="Q213" s="195">
        <v>10</v>
      </c>
      <c r="R213" s="30">
        <v>0</v>
      </c>
      <c r="S213" s="5">
        <v>0</v>
      </c>
      <c r="T213" s="5">
        <v>0</v>
      </c>
      <c r="U213" s="15">
        <f t="shared" si="23"/>
        <v>0</v>
      </c>
      <c r="V213" s="313">
        <f t="shared" si="24"/>
        <v>1</v>
      </c>
      <c r="W213" s="195"/>
      <c r="X213" s="312"/>
      <c r="Y213" s="313"/>
      <c r="Z213" s="114">
        <f t="shared" si="22"/>
        <v>120</v>
      </c>
    </row>
    <row r="214" spans="1:26" s="322" customFormat="1" ht="17.25" customHeight="1" x14ac:dyDescent="0.25">
      <c r="A214" s="196" t="s">
        <v>1314</v>
      </c>
      <c r="B214" s="196" t="s">
        <v>1315</v>
      </c>
      <c r="C214" s="196"/>
      <c r="D214" s="196"/>
      <c r="E214" s="196"/>
      <c r="F214" s="196"/>
      <c r="G214" s="132" t="str">
        <f t="shared" si="20"/>
        <v>25/11/2003</v>
      </c>
      <c r="H214" s="150">
        <v>25</v>
      </c>
      <c r="I214" s="150">
        <v>11</v>
      </c>
      <c r="J214" s="151">
        <v>2003</v>
      </c>
      <c r="K214" s="196"/>
      <c r="L214" s="196"/>
      <c r="M214" s="196" t="s">
        <v>796</v>
      </c>
      <c r="N214" s="197">
        <v>1</v>
      </c>
      <c r="O214" s="197"/>
      <c r="P214" s="199"/>
      <c r="Q214" s="195">
        <v>10</v>
      </c>
      <c r="R214" s="30">
        <v>0</v>
      </c>
      <c r="S214" s="5">
        <v>0</v>
      </c>
      <c r="T214" s="5">
        <v>0</v>
      </c>
      <c r="U214" s="15">
        <f t="shared" si="23"/>
        <v>0</v>
      </c>
      <c r="V214" s="313">
        <f t="shared" si="24"/>
        <v>1</v>
      </c>
      <c r="W214" s="195"/>
      <c r="X214" s="312"/>
      <c r="Y214" s="313"/>
      <c r="Z214" s="114">
        <f t="shared" si="22"/>
        <v>120</v>
      </c>
    </row>
    <row r="215" spans="1:26" s="330" customFormat="1" x14ac:dyDescent="0.25">
      <c r="A215" s="138" t="s">
        <v>1316</v>
      </c>
      <c r="B215" s="138" t="s">
        <v>1317</v>
      </c>
      <c r="C215" s="138"/>
      <c r="D215" s="138"/>
      <c r="E215" s="138"/>
      <c r="F215" s="138"/>
      <c r="G215" s="181" t="str">
        <f t="shared" si="20"/>
        <v>25/11/2003</v>
      </c>
      <c r="H215" s="150">
        <v>25</v>
      </c>
      <c r="I215" s="150">
        <v>11</v>
      </c>
      <c r="J215" s="151">
        <v>2003</v>
      </c>
      <c r="K215" s="138"/>
      <c r="L215" s="138"/>
      <c r="M215" s="138" t="s">
        <v>796</v>
      </c>
      <c r="N215" s="337">
        <v>1</v>
      </c>
      <c r="O215" s="311"/>
      <c r="P215" s="245"/>
      <c r="Q215" s="245">
        <v>10</v>
      </c>
      <c r="R215" s="30">
        <v>0</v>
      </c>
      <c r="S215" s="5">
        <v>0</v>
      </c>
      <c r="T215" s="5">
        <v>0</v>
      </c>
      <c r="U215" s="15">
        <f t="shared" si="23"/>
        <v>0</v>
      </c>
      <c r="V215" s="313">
        <f t="shared" si="24"/>
        <v>1</v>
      </c>
      <c r="W215" s="245"/>
      <c r="X215" s="312"/>
      <c r="Y215" s="313"/>
      <c r="Z215" s="114">
        <f t="shared" si="22"/>
        <v>120</v>
      </c>
    </row>
    <row r="216" spans="1:26" s="322" customFormat="1" x14ac:dyDescent="0.25">
      <c r="A216" s="97" t="s">
        <v>1318</v>
      </c>
      <c r="B216" s="97" t="s">
        <v>1319</v>
      </c>
      <c r="C216" s="97"/>
      <c r="D216" s="97"/>
      <c r="E216" s="97"/>
      <c r="F216" s="97" t="s">
        <v>934</v>
      </c>
      <c r="G216" s="132" t="str">
        <f t="shared" si="20"/>
        <v>12/8/2003</v>
      </c>
      <c r="H216" s="133">
        <v>12</v>
      </c>
      <c r="I216" s="133">
        <v>8</v>
      </c>
      <c r="J216" s="134">
        <v>2003</v>
      </c>
      <c r="K216" s="97" t="s">
        <v>931</v>
      </c>
      <c r="L216" s="97">
        <v>727</v>
      </c>
      <c r="M216" s="97" t="s">
        <v>796</v>
      </c>
      <c r="N216" s="311">
        <v>1201.5</v>
      </c>
      <c r="O216" s="311" t="s">
        <v>1320</v>
      </c>
      <c r="P216" s="245"/>
      <c r="Q216" s="245">
        <v>10</v>
      </c>
      <c r="R216" s="30">
        <v>0</v>
      </c>
      <c r="S216" s="5">
        <v>1200.5</v>
      </c>
      <c r="T216" s="5">
        <v>1200.5</v>
      </c>
      <c r="U216" s="15">
        <f t="shared" si="23"/>
        <v>0</v>
      </c>
      <c r="V216" s="313">
        <f t="shared" si="24"/>
        <v>1</v>
      </c>
      <c r="W216" s="245">
        <v>2710</v>
      </c>
      <c r="X216" s="312"/>
      <c r="Y216" s="313"/>
      <c r="Z216" s="114">
        <f t="shared" si="22"/>
        <v>120</v>
      </c>
    </row>
    <row r="217" spans="1:26" s="245" customFormat="1" x14ac:dyDescent="0.25">
      <c r="A217" s="97" t="s">
        <v>1321</v>
      </c>
      <c r="B217" s="97" t="s">
        <v>912</v>
      </c>
      <c r="C217" s="97"/>
      <c r="D217" s="97" t="s">
        <v>1304</v>
      </c>
      <c r="E217" s="97"/>
      <c r="F217" s="97" t="s">
        <v>1132</v>
      </c>
      <c r="G217" s="132" t="str">
        <f t="shared" si="20"/>
        <v>12/12/2003</v>
      </c>
      <c r="H217" s="133">
        <v>12</v>
      </c>
      <c r="I217" s="133">
        <v>12</v>
      </c>
      <c r="J217" s="134">
        <v>2003</v>
      </c>
      <c r="K217" s="97" t="s">
        <v>56</v>
      </c>
      <c r="L217" s="97">
        <v>13742</v>
      </c>
      <c r="M217" s="97" t="s">
        <v>796</v>
      </c>
      <c r="N217" s="311">
        <v>4572</v>
      </c>
      <c r="O217" s="311"/>
      <c r="Q217" s="245">
        <v>10</v>
      </c>
      <c r="R217" s="30">
        <v>0</v>
      </c>
      <c r="S217" s="5">
        <v>4571</v>
      </c>
      <c r="T217" s="5">
        <v>4571</v>
      </c>
      <c r="U217" s="15">
        <f t="shared" si="23"/>
        <v>0</v>
      </c>
      <c r="V217" s="313">
        <f t="shared" si="24"/>
        <v>1</v>
      </c>
      <c r="W217" s="245">
        <v>2873</v>
      </c>
      <c r="X217" s="312"/>
      <c r="Y217" s="313"/>
      <c r="Z217" s="137">
        <f t="shared" si="22"/>
        <v>120</v>
      </c>
    </row>
    <row r="218" spans="1:26" s="245" customFormat="1" x14ac:dyDescent="0.25">
      <c r="A218" s="138" t="s">
        <v>1322</v>
      </c>
      <c r="B218" s="138" t="s">
        <v>1323</v>
      </c>
      <c r="C218" s="138"/>
      <c r="D218" s="138"/>
      <c r="E218" s="138"/>
      <c r="F218" s="138" t="s">
        <v>934</v>
      </c>
      <c r="G218" s="181" t="str">
        <f t="shared" si="20"/>
        <v>12/8/2003</v>
      </c>
      <c r="H218" s="182">
        <v>12</v>
      </c>
      <c r="I218" s="182">
        <v>8</v>
      </c>
      <c r="J218" s="183">
        <v>2003</v>
      </c>
      <c r="K218" s="138" t="s">
        <v>931</v>
      </c>
      <c r="L218" s="138">
        <v>727</v>
      </c>
      <c r="M218" s="138" t="s">
        <v>796</v>
      </c>
      <c r="N218" s="337">
        <v>1201.5</v>
      </c>
      <c r="O218" s="311" t="s">
        <v>1324</v>
      </c>
      <c r="Q218" s="245">
        <v>10</v>
      </c>
      <c r="R218" s="30">
        <v>0</v>
      </c>
      <c r="S218" s="5">
        <v>1200.5</v>
      </c>
      <c r="T218" s="5">
        <v>1200.5</v>
      </c>
      <c r="U218" s="15">
        <f t="shared" si="23"/>
        <v>0</v>
      </c>
      <c r="V218" s="339">
        <f t="shared" si="24"/>
        <v>1</v>
      </c>
      <c r="W218" s="338">
        <v>2710</v>
      </c>
      <c r="X218" s="340"/>
      <c r="Y218" s="339"/>
      <c r="Z218" s="185">
        <f t="shared" si="22"/>
        <v>120</v>
      </c>
    </row>
    <row r="219" spans="1:26" s="245" customFormat="1" x14ac:dyDescent="0.25">
      <c r="A219" s="97" t="s">
        <v>1325</v>
      </c>
      <c r="B219" s="97" t="s">
        <v>1319</v>
      </c>
      <c r="C219" s="97"/>
      <c r="D219" s="97"/>
      <c r="E219" s="97"/>
      <c r="F219" s="97" t="s">
        <v>934</v>
      </c>
      <c r="G219" s="132" t="str">
        <f t="shared" si="20"/>
        <v>12/8/2003</v>
      </c>
      <c r="H219" s="133">
        <v>12</v>
      </c>
      <c r="I219" s="133">
        <v>8</v>
      </c>
      <c r="J219" s="134">
        <v>2003</v>
      </c>
      <c r="K219" s="97" t="s">
        <v>931</v>
      </c>
      <c r="L219" s="97">
        <v>727</v>
      </c>
      <c r="M219" s="97" t="s">
        <v>796</v>
      </c>
      <c r="N219" s="311">
        <v>1201.5</v>
      </c>
      <c r="O219" s="311" t="s">
        <v>1324</v>
      </c>
      <c r="Q219" s="245">
        <v>10</v>
      </c>
      <c r="R219" s="30">
        <v>0</v>
      </c>
      <c r="S219" s="5">
        <v>1200.5</v>
      </c>
      <c r="T219" s="5">
        <v>1200.5</v>
      </c>
      <c r="U219" s="15">
        <f t="shared" si="23"/>
        <v>0</v>
      </c>
      <c r="V219" s="313">
        <f t="shared" si="24"/>
        <v>1</v>
      </c>
      <c r="W219" s="245">
        <v>2710</v>
      </c>
      <c r="X219" s="312"/>
      <c r="Y219" s="313"/>
      <c r="Z219" s="114">
        <f t="shared" si="22"/>
        <v>120</v>
      </c>
    </row>
    <row r="220" spans="1:26" s="245" customFormat="1" x14ac:dyDescent="0.25">
      <c r="A220" s="97" t="s">
        <v>1326</v>
      </c>
      <c r="B220" s="97" t="s">
        <v>1327</v>
      </c>
      <c r="C220" s="97" t="s">
        <v>1328</v>
      </c>
      <c r="D220" s="97" t="s">
        <v>1329</v>
      </c>
      <c r="E220" s="97"/>
      <c r="F220" s="97"/>
      <c r="G220" s="132" t="str">
        <f t="shared" si="20"/>
        <v>12/8/2003</v>
      </c>
      <c r="H220" s="133">
        <v>12</v>
      </c>
      <c r="I220" s="133">
        <v>8</v>
      </c>
      <c r="J220" s="134">
        <v>2003</v>
      </c>
      <c r="K220" s="97"/>
      <c r="L220" s="97"/>
      <c r="M220" s="97" t="s">
        <v>796</v>
      </c>
      <c r="N220" s="311">
        <v>1</v>
      </c>
      <c r="O220" s="311"/>
      <c r="Q220" s="245">
        <v>10</v>
      </c>
      <c r="R220" s="30">
        <v>0</v>
      </c>
      <c r="S220" s="5">
        <v>0</v>
      </c>
      <c r="T220" s="313">
        <v>0</v>
      </c>
      <c r="U220" s="15">
        <f t="shared" si="23"/>
        <v>0</v>
      </c>
      <c r="V220" s="313">
        <f t="shared" si="24"/>
        <v>1</v>
      </c>
      <c r="X220" s="312"/>
      <c r="Y220" s="313"/>
      <c r="Z220" s="114">
        <f t="shared" si="22"/>
        <v>120</v>
      </c>
    </row>
    <row r="221" spans="1:26" s="245" customFormat="1" x14ac:dyDescent="0.25">
      <c r="A221" s="97" t="s">
        <v>1330</v>
      </c>
      <c r="B221" s="97" t="s">
        <v>1331</v>
      </c>
      <c r="C221" s="97" t="s">
        <v>1332</v>
      </c>
      <c r="D221" s="97" t="s">
        <v>1333</v>
      </c>
      <c r="E221" s="97"/>
      <c r="F221" s="97"/>
      <c r="G221" s="132" t="str">
        <f t="shared" si="20"/>
        <v>12/8/2003</v>
      </c>
      <c r="H221" s="133">
        <v>12</v>
      </c>
      <c r="I221" s="133">
        <v>8</v>
      </c>
      <c r="J221" s="134">
        <v>2003</v>
      </c>
      <c r="K221" s="97"/>
      <c r="L221" s="97"/>
      <c r="M221" s="97" t="s">
        <v>796</v>
      </c>
      <c r="N221" s="311">
        <v>1</v>
      </c>
      <c r="O221" s="311"/>
      <c r="Q221" s="245">
        <v>10</v>
      </c>
      <c r="R221" s="30">
        <v>0</v>
      </c>
      <c r="S221" s="5">
        <v>0</v>
      </c>
      <c r="T221" s="313">
        <v>0</v>
      </c>
      <c r="U221" s="15">
        <f t="shared" si="23"/>
        <v>0</v>
      </c>
      <c r="V221" s="313">
        <f t="shared" si="24"/>
        <v>1</v>
      </c>
      <c r="X221" s="312"/>
      <c r="Y221" s="313"/>
      <c r="Z221" s="114">
        <f t="shared" si="22"/>
        <v>120</v>
      </c>
    </row>
    <row r="222" spans="1:26" s="245" customFormat="1" x14ac:dyDescent="0.25">
      <c r="A222" s="97" t="s">
        <v>1334</v>
      </c>
      <c r="B222" s="97" t="s">
        <v>1335</v>
      </c>
      <c r="C222" s="97" t="s">
        <v>1336</v>
      </c>
      <c r="D222" s="97" t="s">
        <v>1337</v>
      </c>
      <c r="E222" s="97"/>
      <c r="F222" s="97" t="s">
        <v>1338</v>
      </c>
      <c r="G222" s="132" t="str">
        <f t="shared" ref="G222:G285" si="25">CONCATENATE(H222,"/",I222,"/",J222,)</f>
        <v>25/8/2005</v>
      </c>
      <c r="H222" s="133">
        <v>25</v>
      </c>
      <c r="I222" s="133">
        <v>8</v>
      </c>
      <c r="J222" s="134">
        <v>2005</v>
      </c>
      <c r="K222" s="97" t="s">
        <v>56</v>
      </c>
      <c r="L222" s="97">
        <v>46123</v>
      </c>
      <c r="M222" s="97" t="s">
        <v>796</v>
      </c>
      <c r="N222" s="311">
        <v>3915</v>
      </c>
      <c r="O222" s="311"/>
      <c r="Q222" s="245">
        <v>10</v>
      </c>
      <c r="R222" s="30">
        <v>0</v>
      </c>
      <c r="S222" s="5">
        <v>3914</v>
      </c>
      <c r="T222" s="5">
        <v>3914</v>
      </c>
      <c r="U222" s="15">
        <f t="shared" si="23"/>
        <v>0</v>
      </c>
      <c r="V222" s="313">
        <f t="shared" si="24"/>
        <v>1</v>
      </c>
      <c r="W222" s="245">
        <v>6898</v>
      </c>
      <c r="X222" s="312"/>
      <c r="Y222" s="313"/>
      <c r="Z222" s="114">
        <f t="shared" si="22"/>
        <v>120</v>
      </c>
    </row>
    <row r="223" spans="1:26" s="245" customFormat="1" x14ac:dyDescent="0.25">
      <c r="A223" s="97" t="s">
        <v>1339</v>
      </c>
      <c r="B223" s="97" t="s">
        <v>1340</v>
      </c>
      <c r="C223" s="97" t="s">
        <v>1328</v>
      </c>
      <c r="D223" s="97" t="s">
        <v>1329</v>
      </c>
      <c r="E223" s="97"/>
      <c r="F223" s="97"/>
      <c r="G223" s="132" t="str">
        <f t="shared" si="25"/>
        <v>25/8/2005</v>
      </c>
      <c r="H223" s="133">
        <v>25</v>
      </c>
      <c r="I223" s="133">
        <v>8</v>
      </c>
      <c r="J223" s="134">
        <v>2005</v>
      </c>
      <c r="K223" s="97"/>
      <c r="L223" s="97"/>
      <c r="M223" s="97" t="s">
        <v>796</v>
      </c>
      <c r="N223" s="311">
        <v>1</v>
      </c>
      <c r="O223" s="311"/>
      <c r="Q223" s="245">
        <v>10</v>
      </c>
      <c r="R223" s="30">
        <f t="shared" ref="R222:R285" si="26">(((N223)-1)/10)/12</f>
        <v>0</v>
      </c>
      <c r="S223" s="5">
        <v>0</v>
      </c>
      <c r="T223" s="313">
        <v>0</v>
      </c>
      <c r="U223" s="15">
        <f t="shared" si="23"/>
        <v>0</v>
      </c>
      <c r="V223" s="313">
        <f t="shared" si="24"/>
        <v>1</v>
      </c>
      <c r="X223" s="312"/>
      <c r="Y223" s="313"/>
      <c r="Z223" s="114">
        <f t="shared" si="22"/>
        <v>120</v>
      </c>
    </row>
    <row r="224" spans="1:26" s="245" customFormat="1" x14ac:dyDescent="0.25">
      <c r="A224" s="97" t="s">
        <v>1341</v>
      </c>
      <c r="B224" s="97" t="s">
        <v>1342</v>
      </c>
      <c r="C224" s="97" t="s">
        <v>1343</v>
      </c>
      <c r="D224" s="97" t="s">
        <v>1344</v>
      </c>
      <c r="E224" s="97"/>
      <c r="F224" s="97" t="s">
        <v>1345</v>
      </c>
      <c r="G224" s="132" t="str">
        <f t="shared" si="25"/>
        <v>1/8/2004</v>
      </c>
      <c r="H224" s="133">
        <v>1</v>
      </c>
      <c r="I224" s="133">
        <v>8</v>
      </c>
      <c r="J224" s="134">
        <v>2004</v>
      </c>
      <c r="K224" s="97" t="s">
        <v>931</v>
      </c>
      <c r="L224" s="97">
        <v>777</v>
      </c>
      <c r="M224" s="97" t="s">
        <v>796</v>
      </c>
      <c r="N224" s="311">
        <v>945</v>
      </c>
      <c r="O224" s="311"/>
      <c r="Q224" s="245">
        <v>10</v>
      </c>
      <c r="R224" s="30">
        <v>0</v>
      </c>
      <c r="S224" s="5">
        <v>944</v>
      </c>
      <c r="T224" s="5">
        <v>944</v>
      </c>
      <c r="U224" s="15">
        <f t="shared" si="23"/>
        <v>0</v>
      </c>
      <c r="V224" s="313">
        <f t="shared" si="24"/>
        <v>1</v>
      </c>
      <c r="W224" s="245">
        <v>2878</v>
      </c>
      <c r="X224" s="312"/>
      <c r="Y224" s="313"/>
      <c r="Z224" s="114">
        <f t="shared" si="22"/>
        <v>120</v>
      </c>
    </row>
    <row r="225" spans="1:26" s="245" customFormat="1" x14ac:dyDescent="0.25">
      <c r="A225" s="148" t="s">
        <v>1346</v>
      </c>
      <c r="B225" s="200" t="s">
        <v>1347</v>
      </c>
      <c r="C225" s="148"/>
      <c r="D225" s="148"/>
      <c r="E225" s="148"/>
      <c r="F225" s="148"/>
      <c r="G225" s="149" t="str">
        <f t="shared" si="25"/>
        <v>1/8/2004</v>
      </c>
      <c r="H225" s="133">
        <v>1</v>
      </c>
      <c r="I225" s="133">
        <v>8</v>
      </c>
      <c r="J225" s="134">
        <v>2004</v>
      </c>
      <c r="K225" s="148"/>
      <c r="L225" s="148"/>
      <c r="M225" s="148" t="s">
        <v>796</v>
      </c>
      <c r="N225" s="317">
        <v>1</v>
      </c>
      <c r="O225" s="311" t="s">
        <v>1019</v>
      </c>
      <c r="Q225" s="245">
        <v>5</v>
      </c>
      <c r="R225" s="18">
        <f t="shared" si="26"/>
        <v>0</v>
      </c>
      <c r="S225" s="5">
        <v>0</v>
      </c>
      <c r="T225" s="319">
        <v>0</v>
      </c>
      <c r="U225" s="15">
        <f t="shared" si="23"/>
        <v>0</v>
      </c>
      <c r="V225" s="319">
        <f t="shared" si="24"/>
        <v>1</v>
      </c>
      <c r="W225" s="318"/>
      <c r="X225" s="320"/>
      <c r="Y225" s="319"/>
      <c r="Z225" s="155">
        <f t="shared" si="22"/>
        <v>120</v>
      </c>
    </row>
    <row r="226" spans="1:26" s="245" customFormat="1" x14ac:dyDescent="0.25">
      <c r="A226" s="97" t="s">
        <v>1348</v>
      </c>
      <c r="B226" s="196" t="s">
        <v>1349</v>
      </c>
      <c r="C226" s="97"/>
      <c r="D226" s="97" t="s">
        <v>1350</v>
      </c>
      <c r="E226" s="97"/>
      <c r="F226" s="97"/>
      <c r="G226" s="132" t="str">
        <f t="shared" si="25"/>
        <v>1/8/2004</v>
      </c>
      <c r="H226" s="133">
        <v>1</v>
      </c>
      <c r="I226" s="133">
        <v>8</v>
      </c>
      <c r="J226" s="134">
        <v>2004</v>
      </c>
      <c r="K226" s="97"/>
      <c r="L226" s="97"/>
      <c r="M226" s="97" t="s">
        <v>796</v>
      </c>
      <c r="N226" s="311">
        <v>1</v>
      </c>
      <c r="O226" s="311"/>
      <c r="Q226" s="245">
        <v>10</v>
      </c>
      <c r="R226" s="30">
        <f t="shared" si="26"/>
        <v>0</v>
      </c>
      <c r="S226" s="5">
        <v>0</v>
      </c>
      <c r="T226" s="313">
        <v>0</v>
      </c>
      <c r="U226" s="15">
        <f t="shared" si="23"/>
        <v>0</v>
      </c>
      <c r="V226" s="313">
        <f t="shared" si="24"/>
        <v>1</v>
      </c>
      <c r="X226" s="312"/>
      <c r="Y226" s="313"/>
      <c r="Z226" s="114">
        <f t="shared" si="22"/>
        <v>120</v>
      </c>
    </row>
    <row r="227" spans="1:26" s="245" customFormat="1" x14ac:dyDescent="0.25">
      <c r="A227" s="97" t="s">
        <v>1351</v>
      </c>
      <c r="B227" s="196" t="s">
        <v>1352</v>
      </c>
      <c r="C227" s="97"/>
      <c r="D227" s="97"/>
      <c r="E227" s="97"/>
      <c r="F227" s="97"/>
      <c r="G227" s="132" t="str">
        <f t="shared" si="25"/>
        <v>1/8/2004</v>
      </c>
      <c r="H227" s="133">
        <v>1</v>
      </c>
      <c r="I227" s="133">
        <v>8</v>
      </c>
      <c r="J227" s="134">
        <v>2004</v>
      </c>
      <c r="K227" s="97"/>
      <c r="L227" s="97"/>
      <c r="M227" s="97" t="s">
        <v>796</v>
      </c>
      <c r="N227" s="311">
        <v>1</v>
      </c>
      <c r="O227" s="311" t="s">
        <v>1353</v>
      </c>
      <c r="Q227" s="245">
        <v>10</v>
      </c>
      <c r="R227" s="30">
        <f t="shared" si="26"/>
        <v>0</v>
      </c>
      <c r="S227" s="5">
        <v>0</v>
      </c>
      <c r="T227" s="313">
        <v>0</v>
      </c>
      <c r="U227" s="15">
        <f t="shared" si="23"/>
        <v>0</v>
      </c>
      <c r="V227" s="313">
        <f t="shared" si="24"/>
        <v>1</v>
      </c>
      <c r="X227" s="312"/>
      <c r="Y227" s="313"/>
      <c r="Z227" s="114">
        <f t="shared" si="22"/>
        <v>120</v>
      </c>
    </row>
    <row r="228" spans="1:26" s="245" customFormat="1" x14ac:dyDescent="0.25">
      <c r="A228" s="97" t="s">
        <v>1354</v>
      </c>
      <c r="B228" s="196" t="s">
        <v>1352</v>
      </c>
      <c r="C228" s="97"/>
      <c r="D228" s="97"/>
      <c r="E228" s="97"/>
      <c r="F228" s="97"/>
      <c r="G228" s="132" t="str">
        <f t="shared" si="25"/>
        <v>1/8/2004</v>
      </c>
      <c r="H228" s="133">
        <v>1</v>
      </c>
      <c r="I228" s="133">
        <v>8</v>
      </c>
      <c r="J228" s="134">
        <v>2004</v>
      </c>
      <c r="K228" s="97"/>
      <c r="L228" s="97"/>
      <c r="M228" s="97" t="s">
        <v>796</v>
      </c>
      <c r="N228" s="311">
        <v>1</v>
      </c>
      <c r="O228" s="311"/>
      <c r="Q228" s="245">
        <v>10</v>
      </c>
      <c r="R228" s="30">
        <f t="shared" si="26"/>
        <v>0</v>
      </c>
      <c r="S228" s="5">
        <v>0</v>
      </c>
      <c r="T228" s="313">
        <v>0</v>
      </c>
      <c r="U228" s="15">
        <f t="shared" si="23"/>
        <v>0</v>
      </c>
      <c r="V228" s="313">
        <f t="shared" si="24"/>
        <v>1</v>
      </c>
      <c r="X228" s="312"/>
      <c r="Y228" s="313"/>
      <c r="Z228" s="114">
        <f t="shared" si="22"/>
        <v>120</v>
      </c>
    </row>
    <row r="229" spans="1:26" s="318" customFormat="1" x14ac:dyDescent="0.25">
      <c r="A229" s="97" t="s">
        <v>1355</v>
      </c>
      <c r="B229" s="196" t="s">
        <v>1352</v>
      </c>
      <c r="C229" s="97"/>
      <c r="D229" s="97"/>
      <c r="E229" s="97"/>
      <c r="F229" s="97"/>
      <c r="G229" s="132" t="str">
        <f t="shared" si="25"/>
        <v>1/8/2004</v>
      </c>
      <c r="H229" s="133">
        <v>1</v>
      </c>
      <c r="I229" s="133">
        <v>8</v>
      </c>
      <c r="J229" s="134">
        <v>2004</v>
      </c>
      <c r="K229" s="97"/>
      <c r="L229" s="97"/>
      <c r="M229" s="97" t="s">
        <v>796</v>
      </c>
      <c r="N229" s="311">
        <v>1</v>
      </c>
      <c r="O229" s="311" t="s">
        <v>1353</v>
      </c>
      <c r="P229" s="245"/>
      <c r="Q229" s="245">
        <v>10</v>
      </c>
      <c r="R229" s="30">
        <f t="shared" si="26"/>
        <v>0</v>
      </c>
      <c r="S229" s="5">
        <v>0</v>
      </c>
      <c r="T229" s="313">
        <v>0</v>
      </c>
      <c r="U229" s="15">
        <f t="shared" si="23"/>
        <v>0</v>
      </c>
      <c r="V229" s="313">
        <f t="shared" si="24"/>
        <v>1</v>
      </c>
      <c r="W229" s="245"/>
      <c r="X229" s="312"/>
      <c r="Y229" s="313"/>
      <c r="Z229" s="114">
        <f t="shared" si="22"/>
        <v>120</v>
      </c>
    </row>
    <row r="230" spans="1:26" s="318" customFormat="1" x14ac:dyDescent="0.25">
      <c r="A230" s="97" t="s">
        <v>1356</v>
      </c>
      <c r="B230" s="196" t="s">
        <v>1352</v>
      </c>
      <c r="C230" s="97"/>
      <c r="D230" s="97"/>
      <c r="E230" s="97"/>
      <c r="F230" s="97"/>
      <c r="G230" s="132" t="str">
        <f t="shared" si="25"/>
        <v>1/8/2004</v>
      </c>
      <c r="H230" s="133">
        <v>1</v>
      </c>
      <c r="I230" s="133">
        <v>8</v>
      </c>
      <c r="J230" s="134">
        <v>2004</v>
      </c>
      <c r="K230" s="97"/>
      <c r="L230" s="97"/>
      <c r="M230" s="97" t="s">
        <v>796</v>
      </c>
      <c r="N230" s="311">
        <v>1</v>
      </c>
      <c r="O230" s="311" t="s">
        <v>1353</v>
      </c>
      <c r="P230" s="245"/>
      <c r="Q230" s="245">
        <v>10</v>
      </c>
      <c r="R230" s="30">
        <f t="shared" si="26"/>
        <v>0</v>
      </c>
      <c r="S230" s="5">
        <v>0</v>
      </c>
      <c r="T230" s="313">
        <v>0</v>
      </c>
      <c r="U230" s="15">
        <f t="shared" si="23"/>
        <v>0</v>
      </c>
      <c r="V230" s="313">
        <f t="shared" si="24"/>
        <v>1</v>
      </c>
      <c r="W230" s="245"/>
      <c r="X230" s="312"/>
      <c r="Y230" s="313"/>
      <c r="Z230" s="114">
        <f t="shared" si="22"/>
        <v>120</v>
      </c>
    </row>
    <row r="231" spans="1:26" s="245" customFormat="1" x14ac:dyDescent="0.25">
      <c r="A231" s="97" t="s">
        <v>1357</v>
      </c>
      <c r="B231" s="196" t="s">
        <v>1352</v>
      </c>
      <c r="C231" s="97"/>
      <c r="D231" s="97"/>
      <c r="E231" s="97"/>
      <c r="F231" s="97"/>
      <c r="G231" s="132" t="str">
        <f t="shared" si="25"/>
        <v>1/8/2004</v>
      </c>
      <c r="H231" s="133">
        <v>1</v>
      </c>
      <c r="I231" s="133">
        <v>8</v>
      </c>
      <c r="J231" s="134">
        <v>2004</v>
      </c>
      <c r="K231" s="97"/>
      <c r="L231" s="97"/>
      <c r="M231" s="97" t="s">
        <v>796</v>
      </c>
      <c r="N231" s="311">
        <v>1</v>
      </c>
      <c r="O231" s="311" t="s">
        <v>1353</v>
      </c>
      <c r="Q231" s="245">
        <v>10</v>
      </c>
      <c r="R231" s="30">
        <f t="shared" si="26"/>
        <v>0</v>
      </c>
      <c r="S231" s="5">
        <v>0</v>
      </c>
      <c r="T231" s="313">
        <v>0</v>
      </c>
      <c r="U231" s="15">
        <f t="shared" si="23"/>
        <v>0</v>
      </c>
      <c r="V231" s="313">
        <f t="shared" si="24"/>
        <v>1</v>
      </c>
      <c r="X231" s="312"/>
      <c r="Y231" s="313"/>
      <c r="Z231" s="114">
        <f t="shared" si="22"/>
        <v>120</v>
      </c>
    </row>
    <row r="232" spans="1:26" s="318" customFormat="1" x14ac:dyDescent="0.25">
      <c r="A232" s="97" t="s">
        <v>1358</v>
      </c>
      <c r="B232" s="196" t="s">
        <v>1352</v>
      </c>
      <c r="C232" s="97"/>
      <c r="D232" s="97"/>
      <c r="E232" s="97"/>
      <c r="F232" s="97"/>
      <c r="G232" s="132" t="str">
        <f t="shared" si="25"/>
        <v>1/8/2004</v>
      </c>
      <c r="H232" s="133">
        <v>1</v>
      </c>
      <c r="I232" s="133">
        <v>8</v>
      </c>
      <c r="J232" s="134">
        <v>2004</v>
      </c>
      <c r="K232" s="97"/>
      <c r="L232" s="97"/>
      <c r="M232" s="97" t="s">
        <v>796</v>
      </c>
      <c r="N232" s="311">
        <v>1</v>
      </c>
      <c r="O232" s="311" t="s">
        <v>1353</v>
      </c>
      <c r="P232" s="245"/>
      <c r="Q232" s="245">
        <v>10</v>
      </c>
      <c r="R232" s="30">
        <f t="shared" si="26"/>
        <v>0</v>
      </c>
      <c r="S232" s="5">
        <v>0</v>
      </c>
      <c r="T232" s="313">
        <v>0</v>
      </c>
      <c r="U232" s="15">
        <f t="shared" si="23"/>
        <v>0</v>
      </c>
      <c r="V232" s="313">
        <f t="shared" si="24"/>
        <v>1</v>
      </c>
      <c r="W232" s="245"/>
      <c r="X232" s="312"/>
      <c r="Y232" s="313"/>
      <c r="Z232" s="114">
        <f t="shared" si="22"/>
        <v>120</v>
      </c>
    </row>
    <row r="233" spans="1:26" s="326" customFormat="1" x14ac:dyDescent="0.25">
      <c r="A233" s="97" t="s">
        <v>1359</v>
      </c>
      <c r="B233" s="196" t="s">
        <v>1352</v>
      </c>
      <c r="C233" s="97"/>
      <c r="D233" s="97"/>
      <c r="E233" s="97"/>
      <c r="F233" s="97"/>
      <c r="G233" s="132" t="str">
        <f t="shared" si="25"/>
        <v>1/8/2004</v>
      </c>
      <c r="H233" s="133">
        <v>1</v>
      </c>
      <c r="I233" s="133">
        <v>8</v>
      </c>
      <c r="J233" s="134">
        <v>2004</v>
      </c>
      <c r="K233" s="97"/>
      <c r="L233" s="97"/>
      <c r="M233" s="97" t="s">
        <v>796</v>
      </c>
      <c r="N233" s="311">
        <v>1</v>
      </c>
      <c r="O233" s="311" t="s">
        <v>1353</v>
      </c>
      <c r="P233" s="245"/>
      <c r="Q233" s="245">
        <v>10</v>
      </c>
      <c r="R233" s="30">
        <f t="shared" si="26"/>
        <v>0</v>
      </c>
      <c r="S233" s="5">
        <v>0</v>
      </c>
      <c r="T233" s="313">
        <v>0</v>
      </c>
      <c r="U233" s="15">
        <f t="shared" si="23"/>
        <v>0</v>
      </c>
      <c r="V233" s="313">
        <f t="shared" ref="V233:V264" si="27">N233-T233</f>
        <v>1</v>
      </c>
      <c r="W233" s="245"/>
      <c r="X233" s="312"/>
      <c r="Y233" s="313"/>
      <c r="Z233" s="114">
        <f t="shared" si="22"/>
        <v>120</v>
      </c>
    </row>
    <row r="234" spans="1:26" s="245" customFormat="1" x14ac:dyDescent="0.25">
      <c r="A234" s="97" t="s">
        <v>1360</v>
      </c>
      <c r="B234" s="196" t="s">
        <v>1352</v>
      </c>
      <c r="C234" s="97"/>
      <c r="D234" s="97"/>
      <c r="E234" s="97"/>
      <c r="F234" s="97"/>
      <c r="G234" s="132" t="str">
        <f t="shared" si="25"/>
        <v>1/8/2004</v>
      </c>
      <c r="H234" s="133">
        <v>1</v>
      </c>
      <c r="I234" s="133">
        <v>8</v>
      </c>
      <c r="J234" s="134">
        <v>2004</v>
      </c>
      <c r="K234" s="97"/>
      <c r="L234" s="97"/>
      <c r="M234" s="97" t="s">
        <v>796</v>
      </c>
      <c r="N234" s="311">
        <v>1</v>
      </c>
      <c r="O234" s="311" t="s">
        <v>1353</v>
      </c>
      <c r="Q234" s="245">
        <v>10</v>
      </c>
      <c r="R234" s="30">
        <f t="shared" si="26"/>
        <v>0</v>
      </c>
      <c r="S234" s="5">
        <v>0</v>
      </c>
      <c r="T234" s="313">
        <v>0</v>
      </c>
      <c r="U234" s="15">
        <f t="shared" si="23"/>
        <v>0</v>
      </c>
      <c r="V234" s="313">
        <f t="shared" si="27"/>
        <v>1</v>
      </c>
      <c r="X234" s="312"/>
      <c r="Y234" s="313"/>
      <c r="Z234" s="114">
        <f t="shared" si="22"/>
        <v>120</v>
      </c>
    </row>
    <row r="235" spans="1:26" s="245" customFormat="1" x14ac:dyDescent="0.25">
      <c r="A235" s="97" t="s">
        <v>1361</v>
      </c>
      <c r="B235" s="196" t="s">
        <v>1362</v>
      </c>
      <c r="C235" s="97" t="s">
        <v>1363</v>
      </c>
      <c r="D235" s="97" t="s">
        <v>1364</v>
      </c>
      <c r="E235" s="97">
        <v>63120111230</v>
      </c>
      <c r="F235" s="97" t="s">
        <v>1232</v>
      </c>
      <c r="G235" s="132" t="str">
        <f t="shared" si="25"/>
        <v>2/8/2003</v>
      </c>
      <c r="H235" s="133">
        <v>2</v>
      </c>
      <c r="I235" s="133">
        <v>8</v>
      </c>
      <c r="J235" s="134">
        <v>2003</v>
      </c>
      <c r="K235" s="97" t="s">
        <v>24</v>
      </c>
      <c r="L235" s="97">
        <v>987</v>
      </c>
      <c r="M235" s="97" t="s">
        <v>796</v>
      </c>
      <c r="N235" s="311">
        <v>4503.91</v>
      </c>
      <c r="O235" s="311" t="s">
        <v>1365</v>
      </c>
      <c r="Q235" s="245">
        <v>10</v>
      </c>
      <c r="R235" s="30">
        <v>0</v>
      </c>
      <c r="S235" s="5">
        <v>4502.91</v>
      </c>
      <c r="T235" s="5">
        <v>4502.91</v>
      </c>
      <c r="U235" s="15">
        <f t="shared" si="23"/>
        <v>0</v>
      </c>
      <c r="V235" s="313">
        <f t="shared" si="27"/>
        <v>1</v>
      </c>
      <c r="W235" s="201" t="s">
        <v>1366</v>
      </c>
      <c r="X235" s="312"/>
      <c r="Y235" s="313"/>
      <c r="Z235" s="114">
        <f t="shared" si="22"/>
        <v>120</v>
      </c>
    </row>
    <row r="236" spans="1:26" s="245" customFormat="1" x14ac:dyDescent="0.25">
      <c r="A236" s="97" t="s">
        <v>1367</v>
      </c>
      <c r="B236" s="196" t="s">
        <v>912</v>
      </c>
      <c r="C236" s="97"/>
      <c r="D236" s="97" t="s">
        <v>1368</v>
      </c>
      <c r="E236" s="97"/>
      <c r="F236" s="97" t="s">
        <v>914</v>
      </c>
      <c r="G236" s="132" t="str">
        <f t="shared" si="25"/>
        <v>21/11/2003</v>
      </c>
      <c r="H236" s="133">
        <v>21</v>
      </c>
      <c r="I236" s="133">
        <v>11</v>
      </c>
      <c r="J236" s="134">
        <v>2003</v>
      </c>
      <c r="K236" s="97" t="s">
        <v>56</v>
      </c>
      <c r="L236" s="97">
        <v>13675</v>
      </c>
      <c r="M236" s="97" t="s">
        <v>796</v>
      </c>
      <c r="N236" s="311">
        <v>4475</v>
      </c>
      <c r="O236" s="311"/>
      <c r="Q236" s="245">
        <v>10</v>
      </c>
      <c r="R236" s="30">
        <v>0</v>
      </c>
      <c r="S236" s="5">
        <v>4474</v>
      </c>
      <c r="T236" s="5">
        <v>4474</v>
      </c>
      <c r="U236" s="15">
        <f t="shared" si="23"/>
        <v>0</v>
      </c>
      <c r="V236" s="313">
        <f t="shared" si="27"/>
        <v>1</v>
      </c>
      <c r="W236" s="245">
        <v>2459</v>
      </c>
      <c r="X236" s="312"/>
      <c r="Y236" s="313"/>
      <c r="Z236" s="114">
        <f t="shared" si="22"/>
        <v>120</v>
      </c>
    </row>
    <row r="237" spans="1:26" s="245" customFormat="1" x14ac:dyDescent="0.25">
      <c r="A237" s="97" t="s">
        <v>1369</v>
      </c>
      <c r="B237" s="196" t="s">
        <v>912</v>
      </c>
      <c r="C237" s="97"/>
      <c r="D237" s="97" t="s">
        <v>1368</v>
      </c>
      <c r="E237" s="97"/>
      <c r="F237" s="97" t="s">
        <v>914</v>
      </c>
      <c r="G237" s="132" t="str">
        <f t="shared" si="25"/>
        <v>21/11/2003</v>
      </c>
      <c r="H237" s="133">
        <v>21</v>
      </c>
      <c r="I237" s="133">
        <v>11</v>
      </c>
      <c r="J237" s="134">
        <v>2003</v>
      </c>
      <c r="K237" s="97" t="s">
        <v>56</v>
      </c>
      <c r="L237" s="97">
        <v>13675</v>
      </c>
      <c r="M237" s="97" t="s">
        <v>796</v>
      </c>
      <c r="N237" s="311">
        <v>4475</v>
      </c>
      <c r="O237" s="311"/>
      <c r="Q237" s="245">
        <v>10</v>
      </c>
      <c r="R237" s="30">
        <v>0</v>
      </c>
      <c r="S237" s="5">
        <v>4474</v>
      </c>
      <c r="T237" s="5">
        <v>4474</v>
      </c>
      <c r="U237" s="15">
        <f t="shared" si="23"/>
        <v>0</v>
      </c>
      <c r="V237" s="313">
        <f t="shared" si="27"/>
        <v>1</v>
      </c>
      <c r="W237" s="245">
        <v>2459</v>
      </c>
      <c r="X237" s="312"/>
      <c r="Y237" s="313"/>
      <c r="Z237" s="114">
        <f t="shared" si="22"/>
        <v>120</v>
      </c>
    </row>
    <row r="238" spans="1:26" s="245" customFormat="1" x14ac:dyDescent="0.25">
      <c r="A238" s="97" t="s">
        <v>1370</v>
      </c>
      <c r="B238" s="196" t="s">
        <v>1371</v>
      </c>
      <c r="C238" s="97"/>
      <c r="D238" s="97"/>
      <c r="E238" s="97"/>
      <c r="F238" s="97"/>
      <c r="G238" s="132" t="str">
        <f t="shared" si="25"/>
        <v>21/11/2003</v>
      </c>
      <c r="H238" s="133">
        <v>21</v>
      </c>
      <c r="I238" s="133">
        <v>11</v>
      </c>
      <c r="J238" s="134">
        <v>2003</v>
      </c>
      <c r="K238" s="97"/>
      <c r="L238" s="97"/>
      <c r="M238" s="97" t="s">
        <v>796</v>
      </c>
      <c r="N238" s="311">
        <v>1</v>
      </c>
      <c r="O238" s="311"/>
      <c r="Q238" s="245">
        <v>5</v>
      </c>
      <c r="R238" s="30">
        <v>0</v>
      </c>
      <c r="S238" s="5">
        <v>0</v>
      </c>
      <c r="T238" s="5">
        <v>0</v>
      </c>
      <c r="U238" s="15">
        <f t="shared" si="23"/>
        <v>0</v>
      </c>
      <c r="V238" s="313">
        <f t="shared" si="27"/>
        <v>1</v>
      </c>
      <c r="X238" s="312"/>
      <c r="Y238" s="313"/>
      <c r="Z238" s="114">
        <f t="shared" si="22"/>
        <v>120</v>
      </c>
    </row>
    <row r="239" spans="1:26" s="245" customFormat="1" x14ac:dyDescent="0.25">
      <c r="A239" s="97" t="s">
        <v>1372</v>
      </c>
      <c r="B239" s="196" t="s">
        <v>1373</v>
      </c>
      <c r="C239" s="97"/>
      <c r="D239" s="97"/>
      <c r="E239" s="97"/>
      <c r="F239" s="97"/>
      <c r="G239" s="132" t="str">
        <f t="shared" si="25"/>
        <v>21/11/2003</v>
      </c>
      <c r="H239" s="133">
        <v>21</v>
      </c>
      <c r="I239" s="133">
        <v>11</v>
      </c>
      <c r="J239" s="134">
        <v>2003</v>
      </c>
      <c r="K239" s="97"/>
      <c r="L239" s="97"/>
      <c r="M239" s="97" t="s">
        <v>796</v>
      </c>
      <c r="N239" s="311">
        <v>1</v>
      </c>
      <c r="O239" s="311" t="s">
        <v>1374</v>
      </c>
      <c r="Q239" s="245">
        <v>5</v>
      </c>
      <c r="R239" s="30">
        <v>0</v>
      </c>
      <c r="S239" s="5">
        <v>0</v>
      </c>
      <c r="T239" s="5">
        <v>0</v>
      </c>
      <c r="U239" s="15">
        <f t="shared" si="23"/>
        <v>0</v>
      </c>
      <c r="V239" s="313">
        <f t="shared" si="27"/>
        <v>1</v>
      </c>
      <c r="X239" s="312"/>
      <c r="Y239" s="313"/>
      <c r="Z239" s="114">
        <f t="shared" si="22"/>
        <v>120</v>
      </c>
    </row>
    <row r="240" spans="1:26" s="245" customFormat="1" x14ac:dyDescent="0.25">
      <c r="A240" s="97" t="s">
        <v>1375</v>
      </c>
      <c r="B240" s="196" t="s">
        <v>1376</v>
      </c>
      <c r="C240" s="97"/>
      <c r="D240" s="97" t="s">
        <v>1377</v>
      </c>
      <c r="E240" s="97"/>
      <c r="F240" s="97"/>
      <c r="G240" s="132" t="str">
        <f t="shared" si="25"/>
        <v>21/11/2003</v>
      </c>
      <c r="H240" s="133">
        <v>21</v>
      </c>
      <c r="I240" s="133">
        <v>11</v>
      </c>
      <c r="J240" s="134">
        <v>2003</v>
      </c>
      <c r="K240" s="97"/>
      <c r="L240" s="97"/>
      <c r="M240" s="97" t="s">
        <v>796</v>
      </c>
      <c r="N240" s="311">
        <v>1</v>
      </c>
      <c r="O240" s="311" t="s">
        <v>1094</v>
      </c>
      <c r="Q240" s="245">
        <v>10</v>
      </c>
      <c r="R240" s="30">
        <v>0</v>
      </c>
      <c r="S240" s="5">
        <v>0</v>
      </c>
      <c r="T240" s="5">
        <v>0</v>
      </c>
      <c r="U240" s="15">
        <f t="shared" si="23"/>
        <v>0</v>
      </c>
      <c r="V240" s="313">
        <f t="shared" si="27"/>
        <v>1</v>
      </c>
      <c r="X240" s="312"/>
      <c r="Y240" s="313"/>
      <c r="Z240" s="114">
        <f t="shared" si="22"/>
        <v>120</v>
      </c>
    </row>
    <row r="241" spans="1:26" s="334" customFormat="1" x14ac:dyDescent="0.25">
      <c r="A241" s="172" t="s">
        <v>1378</v>
      </c>
      <c r="B241" s="172" t="s">
        <v>1379</v>
      </c>
      <c r="C241" s="172"/>
      <c r="D241" s="172" t="s">
        <v>1380</v>
      </c>
      <c r="E241" s="642"/>
      <c r="F241" s="642" t="s">
        <v>838</v>
      </c>
      <c r="G241" s="173" t="str">
        <f t="shared" si="25"/>
        <v>25/4/2003</v>
      </c>
      <c r="H241" s="643">
        <v>25</v>
      </c>
      <c r="I241" s="643">
        <v>4</v>
      </c>
      <c r="J241" s="644">
        <v>2003</v>
      </c>
      <c r="K241" s="642" t="s">
        <v>56</v>
      </c>
      <c r="L241" s="644">
        <v>28496</v>
      </c>
      <c r="M241" s="97" t="s">
        <v>796</v>
      </c>
      <c r="N241" s="333">
        <v>2512</v>
      </c>
      <c r="O241" s="311" t="s">
        <v>1019</v>
      </c>
      <c r="P241" s="245"/>
      <c r="Q241" s="334">
        <v>10</v>
      </c>
      <c r="R241" s="178">
        <v>0</v>
      </c>
      <c r="S241" s="570">
        <v>2511</v>
      </c>
      <c r="T241" s="570">
        <v>2511</v>
      </c>
      <c r="U241" s="572">
        <f t="shared" si="23"/>
        <v>0</v>
      </c>
      <c r="V241" s="335">
        <f t="shared" si="27"/>
        <v>1</v>
      </c>
      <c r="W241" s="334">
        <v>1259</v>
      </c>
      <c r="X241" s="336"/>
      <c r="Y241" s="335"/>
      <c r="Z241" s="640">
        <f t="shared" si="22"/>
        <v>120</v>
      </c>
    </row>
    <row r="242" spans="1:26" s="245" customFormat="1" x14ac:dyDescent="0.25">
      <c r="A242" s="97" t="s">
        <v>1381</v>
      </c>
      <c r="B242" s="97" t="s">
        <v>852</v>
      </c>
      <c r="C242" s="97"/>
      <c r="D242" s="97"/>
      <c r="E242" s="202"/>
      <c r="F242" s="202" t="s">
        <v>847</v>
      </c>
      <c r="G242" s="132" t="str">
        <f t="shared" si="25"/>
        <v>24/4/2003</v>
      </c>
      <c r="H242" s="203">
        <v>24</v>
      </c>
      <c r="I242" s="203">
        <v>4</v>
      </c>
      <c r="J242" s="204">
        <v>2003</v>
      </c>
      <c r="K242" s="202" t="s">
        <v>56</v>
      </c>
      <c r="L242" s="204">
        <v>5190</v>
      </c>
      <c r="M242" s="97" t="s">
        <v>796</v>
      </c>
      <c r="N242" s="311">
        <v>2912</v>
      </c>
      <c r="O242" s="311"/>
      <c r="Q242" s="245">
        <v>10</v>
      </c>
      <c r="R242" s="30">
        <v>0</v>
      </c>
      <c r="S242" s="5">
        <v>2911.0000000000005</v>
      </c>
      <c r="T242" s="5">
        <v>2911.0000000000005</v>
      </c>
      <c r="U242" s="15">
        <f t="shared" si="23"/>
        <v>0</v>
      </c>
      <c r="V242" s="313">
        <f t="shared" si="27"/>
        <v>0.99999999999954525</v>
      </c>
      <c r="W242" s="245">
        <v>1258</v>
      </c>
      <c r="X242" s="312"/>
      <c r="Y242" s="313"/>
      <c r="Z242" s="114">
        <f t="shared" si="22"/>
        <v>120</v>
      </c>
    </row>
    <row r="243" spans="1:26" s="245" customFormat="1" x14ac:dyDescent="0.25">
      <c r="A243" s="97" t="s">
        <v>1382</v>
      </c>
      <c r="B243" s="97" t="s">
        <v>1383</v>
      </c>
      <c r="C243" s="97"/>
      <c r="D243" s="97" t="s">
        <v>1384</v>
      </c>
      <c r="E243" s="202"/>
      <c r="F243" s="202"/>
      <c r="G243" s="132" t="str">
        <f t="shared" si="25"/>
        <v>24/4/2003</v>
      </c>
      <c r="H243" s="203">
        <v>24</v>
      </c>
      <c r="I243" s="203">
        <v>4</v>
      </c>
      <c r="J243" s="204">
        <v>2003</v>
      </c>
      <c r="K243" s="202"/>
      <c r="L243" s="204"/>
      <c r="M243" s="97" t="s">
        <v>796</v>
      </c>
      <c r="N243" s="311">
        <v>1</v>
      </c>
      <c r="O243" s="311"/>
      <c r="Q243" s="245">
        <v>10</v>
      </c>
      <c r="R243" s="30">
        <v>0</v>
      </c>
      <c r="S243" s="5">
        <v>0</v>
      </c>
      <c r="T243" s="5">
        <v>0</v>
      </c>
      <c r="U243" s="15">
        <f t="shared" si="23"/>
        <v>0</v>
      </c>
      <c r="V243" s="313">
        <f t="shared" si="27"/>
        <v>1</v>
      </c>
      <c r="X243" s="312"/>
      <c r="Y243" s="313"/>
      <c r="Z243" s="114">
        <f t="shared" si="22"/>
        <v>120</v>
      </c>
    </row>
    <row r="244" spans="1:26" s="245" customFormat="1" x14ac:dyDescent="0.25">
      <c r="A244" s="97" t="s">
        <v>1385</v>
      </c>
      <c r="B244" s="97" t="s">
        <v>1386</v>
      </c>
      <c r="C244" s="97"/>
      <c r="D244" s="97" t="s">
        <v>1387</v>
      </c>
      <c r="E244" s="202"/>
      <c r="F244" s="202"/>
      <c r="G244" s="132" t="str">
        <f t="shared" si="25"/>
        <v>24/4/2003</v>
      </c>
      <c r="H244" s="203">
        <v>24</v>
      </c>
      <c r="I244" s="203">
        <v>4</v>
      </c>
      <c r="J244" s="204">
        <v>2003</v>
      </c>
      <c r="K244" s="202"/>
      <c r="L244" s="204"/>
      <c r="M244" s="97" t="s">
        <v>796</v>
      </c>
      <c r="N244" s="311">
        <v>1</v>
      </c>
      <c r="O244" s="311"/>
      <c r="Q244" s="245">
        <v>10</v>
      </c>
      <c r="R244" s="30">
        <v>0</v>
      </c>
      <c r="S244" s="5">
        <v>0</v>
      </c>
      <c r="T244" s="5">
        <v>0</v>
      </c>
      <c r="U244" s="15">
        <f t="shared" si="23"/>
        <v>0</v>
      </c>
      <c r="V244" s="313">
        <f t="shared" si="27"/>
        <v>1</v>
      </c>
      <c r="X244" s="312"/>
      <c r="Y244" s="313"/>
      <c r="Z244" s="114">
        <f t="shared" si="22"/>
        <v>120</v>
      </c>
    </row>
    <row r="245" spans="1:26" s="245" customFormat="1" x14ac:dyDescent="0.25">
      <c r="A245" s="97" t="s">
        <v>1388</v>
      </c>
      <c r="B245" s="97" t="s">
        <v>1389</v>
      </c>
      <c r="C245" s="97"/>
      <c r="D245" s="97" t="s">
        <v>1165</v>
      </c>
      <c r="E245" s="202"/>
      <c r="F245" s="202" t="s">
        <v>1390</v>
      </c>
      <c r="G245" s="132" t="str">
        <f t="shared" si="25"/>
        <v>14/6/2004</v>
      </c>
      <c r="H245" s="203">
        <v>14</v>
      </c>
      <c r="I245" s="203">
        <v>6</v>
      </c>
      <c r="J245" s="204">
        <v>2004</v>
      </c>
      <c r="K245" s="202" t="s">
        <v>56</v>
      </c>
      <c r="L245" s="204">
        <v>18154</v>
      </c>
      <c r="M245" s="97" t="s">
        <v>796</v>
      </c>
      <c r="N245" s="311">
        <v>3220</v>
      </c>
      <c r="O245" s="311" t="s">
        <v>974</v>
      </c>
      <c r="Q245" s="245">
        <v>10</v>
      </c>
      <c r="R245" s="30">
        <v>0</v>
      </c>
      <c r="S245" s="5">
        <v>3219</v>
      </c>
      <c r="T245" s="5">
        <v>3219</v>
      </c>
      <c r="U245" s="15">
        <f t="shared" si="23"/>
        <v>0</v>
      </c>
      <c r="V245" s="313">
        <f t="shared" si="27"/>
        <v>1</v>
      </c>
      <c r="W245" s="245">
        <v>4310</v>
      </c>
      <c r="X245" s="312"/>
      <c r="Y245" s="313"/>
      <c r="Z245" s="114">
        <f t="shared" si="22"/>
        <v>120</v>
      </c>
    </row>
    <row r="246" spans="1:26" s="245" customFormat="1" x14ac:dyDescent="0.25">
      <c r="A246" s="97" t="s">
        <v>1392</v>
      </c>
      <c r="B246" s="97" t="s">
        <v>1391</v>
      </c>
      <c r="C246" s="97"/>
      <c r="D246" s="97"/>
      <c r="E246" s="97"/>
      <c r="F246" s="97"/>
      <c r="G246" s="132" t="str">
        <f t="shared" si="25"/>
        <v>14/6/2004</v>
      </c>
      <c r="H246" s="203">
        <v>14</v>
      </c>
      <c r="I246" s="203">
        <v>6</v>
      </c>
      <c r="J246" s="204">
        <v>2004</v>
      </c>
      <c r="K246" s="97"/>
      <c r="L246" s="97"/>
      <c r="M246" s="97" t="s">
        <v>796</v>
      </c>
      <c r="N246" s="311">
        <v>1</v>
      </c>
      <c r="O246" s="311" t="s">
        <v>1353</v>
      </c>
      <c r="Q246" s="245">
        <v>10</v>
      </c>
      <c r="R246" s="30">
        <v>0</v>
      </c>
      <c r="S246" s="5">
        <v>0</v>
      </c>
      <c r="T246" s="5">
        <v>0</v>
      </c>
      <c r="U246" s="15">
        <f t="shared" si="23"/>
        <v>0</v>
      </c>
      <c r="V246" s="313">
        <f t="shared" si="27"/>
        <v>1</v>
      </c>
      <c r="X246" s="312"/>
      <c r="Y246" s="313"/>
      <c r="Z246" s="114">
        <f t="shared" si="22"/>
        <v>120</v>
      </c>
    </row>
    <row r="247" spans="1:26" s="330" customFormat="1" x14ac:dyDescent="0.25">
      <c r="A247" s="166" t="s">
        <v>1392</v>
      </c>
      <c r="B247" s="166" t="s">
        <v>1393</v>
      </c>
      <c r="C247" s="166"/>
      <c r="D247" s="166"/>
      <c r="E247" s="205"/>
      <c r="F247" s="205" t="s">
        <v>937</v>
      </c>
      <c r="G247" s="167" t="str">
        <f t="shared" si="25"/>
        <v>2/6/2004</v>
      </c>
      <c r="H247" s="206">
        <v>2</v>
      </c>
      <c r="I247" s="206">
        <v>6</v>
      </c>
      <c r="J247" s="207">
        <v>2004</v>
      </c>
      <c r="K247" s="205" t="s">
        <v>931</v>
      </c>
      <c r="L247" s="207">
        <v>841</v>
      </c>
      <c r="M247" s="166" t="s">
        <v>796</v>
      </c>
      <c r="N247" s="329">
        <v>900</v>
      </c>
      <c r="O247" s="329" t="s">
        <v>1394</v>
      </c>
      <c r="Q247" s="330">
        <v>10</v>
      </c>
      <c r="R247" s="30">
        <v>0</v>
      </c>
      <c r="S247" s="5">
        <v>899</v>
      </c>
      <c r="T247" s="5">
        <v>899</v>
      </c>
      <c r="U247" s="556">
        <f t="shared" si="23"/>
        <v>0</v>
      </c>
      <c r="V247" s="331">
        <f t="shared" si="27"/>
        <v>1</v>
      </c>
      <c r="W247" s="330">
        <v>3169</v>
      </c>
      <c r="X247" s="332"/>
      <c r="Y247" s="331"/>
      <c r="Z247" s="171">
        <f t="shared" si="22"/>
        <v>120</v>
      </c>
    </row>
    <row r="248" spans="1:26" s="245" customFormat="1" x14ac:dyDescent="0.25">
      <c r="A248" s="97" t="s">
        <v>1395</v>
      </c>
      <c r="B248" s="97" t="s">
        <v>1396</v>
      </c>
      <c r="C248" s="97"/>
      <c r="D248" s="97"/>
      <c r="E248" s="202"/>
      <c r="F248" s="202"/>
      <c r="G248" s="132" t="str">
        <f t="shared" si="25"/>
        <v>2/6/2004</v>
      </c>
      <c r="H248" s="206">
        <v>2</v>
      </c>
      <c r="I248" s="206">
        <v>6</v>
      </c>
      <c r="J248" s="207">
        <v>2004</v>
      </c>
      <c r="K248" s="202"/>
      <c r="L248" s="204"/>
      <c r="M248" s="97" t="s">
        <v>796</v>
      </c>
      <c r="N248" s="311">
        <v>1</v>
      </c>
      <c r="O248" s="311"/>
      <c r="Q248" s="245">
        <v>10</v>
      </c>
      <c r="R248" s="30">
        <v>0</v>
      </c>
      <c r="S248" s="5">
        <v>0</v>
      </c>
      <c r="T248" s="5">
        <v>0</v>
      </c>
      <c r="U248" s="15">
        <f t="shared" si="23"/>
        <v>0</v>
      </c>
      <c r="V248" s="313">
        <f t="shared" si="27"/>
        <v>1</v>
      </c>
      <c r="X248" s="312"/>
      <c r="Y248" s="313"/>
      <c r="Z248" s="114">
        <f t="shared" si="22"/>
        <v>120</v>
      </c>
    </row>
    <row r="249" spans="1:26" s="245" customFormat="1" x14ac:dyDescent="0.25">
      <c r="A249" s="97" t="s">
        <v>1397</v>
      </c>
      <c r="B249" s="97" t="s">
        <v>1398</v>
      </c>
      <c r="C249" s="97"/>
      <c r="D249" s="97"/>
      <c r="E249" s="97"/>
      <c r="F249" s="97"/>
      <c r="G249" s="132" t="str">
        <f t="shared" si="25"/>
        <v>2/6/2004</v>
      </c>
      <c r="H249" s="206">
        <v>2</v>
      </c>
      <c r="I249" s="206">
        <v>6</v>
      </c>
      <c r="J249" s="207">
        <v>2004</v>
      </c>
      <c r="K249" s="97"/>
      <c r="L249" s="97"/>
      <c r="M249" s="97" t="s">
        <v>796</v>
      </c>
      <c r="N249" s="311">
        <v>1</v>
      </c>
      <c r="O249" s="311"/>
      <c r="Q249" s="245">
        <v>10</v>
      </c>
      <c r="R249" s="30">
        <v>0</v>
      </c>
      <c r="S249" s="5">
        <v>0</v>
      </c>
      <c r="T249" s="5">
        <v>0</v>
      </c>
      <c r="U249" s="15">
        <f t="shared" si="23"/>
        <v>0</v>
      </c>
      <c r="V249" s="313">
        <f t="shared" si="27"/>
        <v>1</v>
      </c>
      <c r="X249" s="312"/>
      <c r="Y249" s="313"/>
      <c r="Z249" s="114">
        <f t="shared" si="22"/>
        <v>120</v>
      </c>
    </row>
    <row r="250" spans="1:26" s="245" customFormat="1" x14ac:dyDescent="0.25">
      <c r="A250" s="97" t="s">
        <v>1399</v>
      </c>
      <c r="B250" s="97" t="s">
        <v>1391</v>
      </c>
      <c r="C250" s="97"/>
      <c r="D250" s="97"/>
      <c r="E250" s="97"/>
      <c r="F250" s="97"/>
      <c r="G250" s="132" t="str">
        <f t="shared" si="25"/>
        <v>2/6/2004</v>
      </c>
      <c r="H250" s="206">
        <v>2</v>
      </c>
      <c r="I250" s="206">
        <v>6</v>
      </c>
      <c r="J250" s="207">
        <v>2004</v>
      </c>
      <c r="K250" s="97"/>
      <c r="L250" s="97"/>
      <c r="M250" s="97" t="s">
        <v>796</v>
      </c>
      <c r="N250" s="311">
        <v>1</v>
      </c>
      <c r="O250" s="311" t="s">
        <v>1353</v>
      </c>
      <c r="Q250" s="245">
        <v>10</v>
      </c>
      <c r="R250" s="30">
        <v>0</v>
      </c>
      <c r="S250" s="5">
        <v>0</v>
      </c>
      <c r="T250" s="5">
        <v>0</v>
      </c>
      <c r="U250" s="15">
        <f t="shared" si="23"/>
        <v>0</v>
      </c>
      <c r="V250" s="313">
        <f t="shared" si="27"/>
        <v>1</v>
      </c>
      <c r="X250" s="312"/>
      <c r="Y250" s="313"/>
      <c r="Z250" s="114">
        <f t="shared" si="22"/>
        <v>120</v>
      </c>
    </row>
    <row r="251" spans="1:26" s="245" customFormat="1" x14ac:dyDescent="0.25">
      <c r="A251" s="97" t="s">
        <v>1400</v>
      </c>
      <c r="B251" s="97" t="s">
        <v>1331</v>
      </c>
      <c r="C251" s="97" t="s">
        <v>1401</v>
      </c>
      <c r="D251" s="97" t="s">
        <v>1402</v>
      </c>
      <c r="E251" s="97"/>
      <c r="F251" s="97"/>
      <c r="G251" s="132" t="str">
        <f t="shared" si="25"/>
        <v>2/6/2004</v>
      </c>
      <c r="H251" s="206">
        <v>2</v>
      </c>
      <c r="I251" s="206">
        <v>6</v>
      </c>
      <c r="J251" s="207">
        <v>2004</v>
      </c>
      <c r="K251" s="97"/>
      <c r="L251" s="97"/>
      <c r="M251" s="97" t="s">
        <v>796</v>
      </c>
      <c r="N251" s="311">
        <v>1</v>
      </c>
      <c r="O251" s="311"/>
      <c r="Q251" s="245">
        <v>10</v>
      </c>
      <c r="R251" s="30">
        <v>0</v>
      </c>
      <c r="S251" s="5">
        <v>0</v>
      </c>
      <c r="T251" s="5">
        <v>0</v>
      </c>
      <c r="U251" s="15">
        <f t="shared" si="23"/>
        <v>0</v>
      </c>
      <c r="V251" s="313">
        <f t="shared" si="27"/>
        <v>1</v>
      </c>
      <c r="X251" s="312"/>
      <c r="Y251" s="313"/>
      <c r="Z251" s="114">
        <f t="shared" si="22"/>
        <v>120</v>
      </c>
    </row>
    <row r="252" spans="1:26" s="245" customFormat="1" x14ac:dyDescent="0.25">
      <c r="A252" s="97" t="s">
        <v>1403</v>
      </c>
      <c r="B252" s="97" t="s">
        <v>1404</v>
      </c>
      <c r="C252" s="97"/>
      <c r="D252" s="97"/>
      <c r="E252" s="97"/>
      <c r="F252" s="97"/>
      <c r="G252" s="132" t="str">
        <f t="shared" si="25"/>
        <v>2/6/2004</v>
      </c>
      <c r="H252" s="206">
        <v>2</v>
      </c>
      <c r="I252" s="206">
        <v>6</v>
      </c>
      <c r="J252" s="207">
        <v>2004</v>
      </c>
      <c r="K252" s="97"/>
      <c r="L252" s="134"/>
      <c r="M252" s="97" t="s">
        <v>796</v>
      </c>
      <c r="N252" s="311">
        <v>1</v>
      </c>
      <c r="O252" s="311"/>
      <c r="Q252" s="245">
        <v>10</v>
      </c>
      <c r="R252" s="30">
        <v>0</v>
      </c>
      <c r="S252" s="5">
        <v>0</v>
      </c>
      <c r="T252" s="5">
        <v>0</v>
      </c>
      <c r="U252" s="15">
        <f t="shared" si="23"/>
        <v>0</v>
      </c>
      <c r="V252" s="313">
        <f t="shared" si="27"/>
        <v>1</v>
      </c>
      <c r="X252" s="312"/>
      <c r="Y252" s="313"/>
      <c r="Z252" s="114">
        <f t="shared" si="22"/>
        <v>120</v>
      </c>
    </row>
    <row r="253" spans="1:26" s="245" customFormat="1" x14ac:dyDescent="0.25">
      <c r="A253" s="97" t="s">
        <v>1405</v>
      </c>
      <c r="B253" s="97" t="s">
        <v>1327</v>
      </c>
      <c r="C253" s="97" t="s">
        <v>1406</v>
      </c>
      <c r="D253" s="97" t="s">
        <v>1407</v>
      </c>
      <c r="E253" s="97" t="s">
        <v>1408</v>
      </c>
      <c r="F253" s="97"/>
      <c r="G253" s="132" t="str">
        <f t="shared" si="25"/>
        <v>2/6/2004</v>
      </c>
      <c r="H253" s="206">
        <v>2</v>
      </c>
      <c r="I253" s="206">
        <v>6</v>
      </c>
      <c r="J253" s="207">
        <v>2004</v>
      </c>
      <c r="K253" s="97"/>
      <c r="L253" s="134"/>
      <c r="M253" s="97" t="s">
        <v>796</v>
      </c>
      <c r="N253" s="311">
        <v>1</v>
      </c>
      <c r="O253" s="311"/>
      <c r="Q253" s="245">
        <v>10</v>
      </c>
      <c r="R253" s="30">
        <v>0</v>
      </c>
      <c r="S253" s="5">
        <v>0</v>
      </c>
      <c r="T253" s="5">
        <v>0</v>
      </c>
      <c r="U253" s="15">
        <f t="shared" si="23"/>
        <v>0</v>
      </c>
      <c r="V253" s="313">
        <f t="shared" si="27"/>
        <v>1</v>
      </c>
      <c r="X253" s="312"/>
      <c r="Y253" s="313"/>
      <c r="Z253" s="114">
        <f t="shared" si="22"/>
        <v>120</v>
      </c>
    </row>
    <row r="254" spans="1:26" s="245" customFormat="1" x14ac:dyDescent="0.25">
      <c r="A254" s="97" t="s">
        <v>1409</v>
      </c>
      <c r="B254" s="97" t="s">
        <v>1410</v>
      </c>
      <c r="C254" s="97"/>
      <c r="D254" s="97"/>
      <c r="E254" s="97"/>
      <c r="F254" s="97"/>
      <c r="G254" s="132" t="str">
        <f t="shared" si="25"/>
        <v>2/6/2004</v>
      </c>
      <c r="H254" s="206">
        <v>2</v>
      </c>
      <c r="I254" s="206">
        <v>6</v>
      </c>
      <c r="J254" s="207">
        <v>2004</v>
      </c>
      <c r="K254" s="97"/>
      <c r="L254" s="134"/>
      <c r="M254" s="97" t="s">
        <v>796</v>
      </c>
      <c r="N254" s="311">
        <v>1</v>
      </c>
      <c r="O254" s="311" t="s">
        <v>1411</v>
      </c>
      <c r="Q254" s="245">
        <v>10</v>
      </c>
      <c r="R254" s="30">
        <v>0</v>
      </c>
      <c r="S254" s="5">
        <v>0</v>
      </c>
      <c r="T254" s="5">
        <v>0</v>
      </c>
      <c r="U254" s="15">
        <f t="shared" si="23"/>
        <v>0</v>
      </c>
      <c r="V254" s="313">
        <f t="shared" si="27"/>
        <v>1</v>
      </c>
      <c r="X254" s="312"/>
      <c r="Y254" s="313"/>
      <c r="Z254" s="114">
        <f t="shared" si="22"/>
        <v>120</v>
      </c>
    </row>
    <row r="255" spans="1:26" s="245" customFormat="1" x14ac:dyDescent="0.25">
      <c r="A255" s="97" t="s">
        <v>1412</v>
      </c>
      <c r="B255" s="97" t="s">
        <v>1413</v>
      </c>
      <c r="C255" s="97"/>
      <c r="D255" s="97"/>
      <c r="E255" s="97"/>
      <c r="F255" s="97"/>
      <c r="G255" s="132" t="str">
        <f t="shared" si="25"/>
        <v>2/6/2004</v>
      </c>
      <c r="H255" s="206">
        <v>2</v>
      </c>
      <c r="I255" s="206">
        <v>6</v>
      </c>
      <c r="J255" s="207">
        <v>2004</v>
      </c>
      <c r="K255" s="97"/>
      <c r="L255" s="134"/>
      <c r="M255" s="97" t="s">
        <v>796</v>
      </c>
      <c r="N255" s="311">
        <v>1</v>
      </c>
      <c r="O255" s="311"/>
      <c r="Q255" s="245">
        <v>10</v>
      </c>
      <c r="R255" s="30">
        <v>0</v>
      </c>
      <c r="S255" s="5">
        <v>0</v>
      </c>
      <c r="T255" s="5">
        <v>0</v>
      </c>
      <c r="U255" s="15">
        <f t="shared" si="23"/>
        <v>0</v>
      </c>
      <c r="V255" s="313">
        <f t="shared" si="27"/>
        <v>1</v>
      </c>
      <c r="X255" s="312"/>
      <c r="Y255" s="313"/>
      <c r="Z255" s="114">
        <f t="shared" si="22"/>
        <v>120</v>
      </c>
    </row>
    <row r="256" spans="1:26" s="245" customFormat="1" x14ac:dyDescent="0.25">
      <c r="A256" s="97" t="s">
        <v>1414</v>
      </c>
      <c r="B256" s="97" t="s">
        <v>1415</v>
      </c>
      <c r="C256" s="97"/>
      <c r="D256" s="97"/>
      <c r="E256" s="97"/>
      <c r="F256" s="97"/>
      <c r="G256" s="132" t="str">
        <f t="shared" si="25"/>
        <v>2/6/2004</v>
      </c>
      <c r="H256" s="206">
        <v>2</v>
      </c>
      <c r="I256" s="206">
        <v>6</v>
      </c>
      <c r="J256" s="207">
        <v>2004</v>
      </c>
      <c r="K256" s="97"/>
      <c r="L256" s="134"/>
      <c r="M256" s="97" t="s">
        <v>796</v>
      </c>
      <c r="N256" s="311">
        <v>1</v>
      </c>
      <c r="O256" s="311"/>
      <c r="Q256" s="245">
        <v>10</v>
      </c>
      <c r="R256" s="30">
        <v>0</v>
      </c>
      <c r="S256" s="5">
        <v>0</v>
      </c>
      <c r="T256" s="5">
        <v>0</v>
      </c>
      <c r="U256" s="15">
        <f t="shared" si="23"/>
        <v>0</v>
      </c>
      <c r="V256" s="313">
        <f t="shared" si="27"/>
        <v>1</v>
      </c>
      <c r="X256" s="312"/>
      <c r="Y256" s="313"/>
      <c r="Z256" s="114">
        <f t="shared" si="22"/>
        <v>120</v>
      </c>
    </row>
    <row r="257" spans="1:26" s="245" customFormat="1" x14ac:dyDescent="0.25">
      <c r="A257" s="97" t="s">
        <v>1416</v>
      </c>
      <c r="B257" s="97" t="s">
        <v>159</v>
      </c>
      <c r="C257" s="97" t="s">
        <v>133</v>
      </c>
      <c r="D257" s="97" t="s">
        <v>161</v>
      </c>
      <c r="E257" s="97" t="s">
        <v>1417</v>
      </c>
      <c r="F257" s="97"/>
      <c r="G257" s="132" t="str">
        <f t="shared" si="25"/>
        <v>2/6/2004</v>
      </c>
      <c r="H257" s="206">
        <v>2</v>
      </c>
      <c r="I257" s="206">
        <v>6</v>
      </c>
      <c r="J257" s="207">
        <v>2004</v>
      </c>
      <c r="K257" s="97"/>
      <c r="L257" s="97"/>
      <c r="M257" s="97" t="s">
        <v>796</v>
      </c>
      <c r="N257" s="186">
        <v>1</v>
      </c>
      <c r="O257" s="186"/>
      <c r="Q257" s="245">
        <v>10</v>
      </c>
      <c r="R257" s="30">
        <v>0</v>
      </c>
      <c r="S257" s="5">
        <v>0</v>
      </c>
      <c r="T257" s="5">
        <v>0</v>
      </c>
      <c r="U257" s="15">
        <f t="shared" si="23"/>
        <v>0</v>
      </c>
      <c r="V257" s="313">
        <f t="shared" si="27"/>
        <v>1</v>
      </c>
      <c r="X257" s="312"/>
      <c r="Y257" s="313"/>
      <c r="Z257" s="114">
        <f t="shared" si="22"/>
        <v>120</v>
      </c>
    </row>
    <row r="258" spans="1:26" s="245" customFormat="1" x14ac:dyDescent="0.25">
      <c r="A258" s="97" t="s">
        <v>1418</v>
      </c>
      <c r="B258" s="97" t="s">
        <v>824</v>
      </c>
      <c r="C258" s="97" t="s">
        <v>459</v>
      </c>
      <c r="D258" s="97" t="s">
        <v>1419</v>
      </c>
      <c r="E258" s="97" t="s">
        <v>1420</v>
      </c>
      <c r="F258" s="97" t="s">
        <v>821</v>
      </c>
      <c r="G258" s="132" t="str">
        <f t="shared" si="25"/>
        <v>26/10/2005</v>
      </c>
      <c r="H258" s="133">
        <v>26</v>
      </c>
      <c r="I258" s="133">
        <v>10</v>
      </c>
      <c r="J258" s="134">
        <v>2005</v>
      </c>
      <c r="K258" s="97" t="s">
        <v>56</v>
      </c>
      <c r="L258" s="97">
        <v>9074</v>
      </c>
      <c r="M258" s="97" t="s">
        <v>796</v>
      </c>
      <c r="N258" s="186">
        <v>2500</v>
      </c>
      <c r="O258" s="186"/>
      <c r="Q258" s="245">
        <v>10</v>
      </c>
      <c r="R258" s="30">
        <v>0</v>
      </c>
      <c r="S258" s="5">
        <v>2499</v>
      </c>
      <c r="T258" s="5">
        <v>2499</v>
      </c>
      <c r="U258" s="15">
        <f t="shared" si="23"/>
        <v>0</v>
      </c>
      <c r="V258" s="313">
        <f t="shared" si="27"/>
        <v>1</v>
      </c>
      <c r="W258" s="245">
        <v>7552</v>
      </c>
      <c r="X258" s="312"/>
      <c r="Y258" s="313"/>
      <c r="Z258" s="114">
        <f t="shared" si="22"/>
        <v>120</v>
      </c>
    </row>
    <row r="259" spans="1:26" s="245" customFormat="1" x14ac:dyDescent="0.25">
      <c r="A259" s="148" t="s">
        <v>1421</v>
      </c>
      <c r="B259" s="148" t="s">
        <v>1422</v>
      </c>
      <c r="C259" s="148" t="s">
        <v>459</v>
      </c>
      <c r="D259" s="148" t="s">
        <v>1423</v>
      </c>
      <c r="E259" s="148">
        <v>37249002</v>
      </c>
      <c r="F259" s="148"/>
      <c r="G259" s="149" t="str">
        <f t="shared" si="25"/>
        <v>26/10/2005</v>
      </c>
      <c r="H259" s="133">
        <v>26</v>
      </c>
      <c r="I259" s="133">
        <v>10</v>
      </c>
      <c r="J259" s="134">
        <v>2005</v>
      </c>
      <c r="K259" s="148"/>
      <c r="L259" s="151"/>
      <c r="M259" s="148" t="s">
        <v>796</v>
      </c>
      <c r="N259" s="317">
        <v>1</v>
      </c>
      <c r="O259" s="311"/>
      <c r="Q259" s="245">
        <v>10</v>
      </c>
      <c r="R259" s="18">
        <f t="shared" si="26"/>
        <v>0</v>
      </c>
      <c r="S259" s="5">
        <v>0</v>
      </c>
      <c r="T259" s="319">
        <v>0</v>
      </c>
      <c r="U259" s="15">
        <f t="shared" si="23"/>
        <v>0</v>
      </c>
      <c r="V259" s="319">
        <f t="shared" si="27"/>
        <v>1</v>
      </c>
      <c r="W259" s="318"/>
      <c r="X259" s="320"/>
      <c r="Y259" s="319"/>
      <c r="Z259" s="155">
        <f t="shared" si="22"/>
        <v>120</v>
      </c>
    </row>
    <row r="260" spans="1:26" s="245" customFormat="1" x14ac:dyDescent="0.25">
      <c r="A260" s="97" t="s">
        <v>1424</v>
      </c>
      <c r="B260" s="97" t="s">
        <v>1425</v>
      </c>
      <c r="C260" s="97" t="s">
        <v>459</v>
      </c>
      <c r="D260" s="97" t="s">
        <v>1426</v>
      </c>
      <c r="E260" s="97"/>
      <c r="F260" s="97" t="s">
        <v>1427</v>
      </c>
      <c r="G260" s="132" t="str">
        <f t="shared" si="25"/>
        <v>5/7/2004</v>
      </c>
      <c r="H260" s="133">
        <v>5</v>
      </c>
      <c r="I260" s="133">
        <v>7</v>
      </c>
      <c r="J260" s="134">
        <v>2004</v>
      </c>
      <c r="K260" s="97" t="s">
        <v>56</v>
      </c>
      <c r="L260" s="134">
        <v>7593</v>
      </c>
      <c r="M260" s="97" t="s">
        <v>796</v>
      </c>
      <c r="N260" s="311">
        <v>3500</v>
      </c>
      <c r="O260" s="311" t="s">
        <v>1019</v>
      </c>
      <c r="Q260" s="245">
        <v>10</v>
      </c>
      <c r="R260" s="30">
        <v>0</v>
      </c>
      <c r="S260" s="5">
        <v>3499</v>
      </c>
      <c r="T260" s="5">
        <v>3499</v>
      </c>
      <c r="U260" s="15">
        <f t="shared" si="23"/>
        <v>0</v>
      </c>
      <c r="V260" s="313">
        <f t="shared" si="27"/>
        <v>1</v>
      </c>
      <c r="W260" s="245">
        <v>4302</v>
      </c>
      <c r="X260" s="312"/>
      <c r="Y260" s="313"/>
      <c r="Z260" s="114">
        <f t="shared" si="22"/>
        <v>120</v>
      </c>
    </row>
    <row r="261" spans="1:26" s="245" customFormat="1" x14ac:dyDescent="0.25">
      <c r="A261" s="97" t="s">
        <v>1428</v>
      </c>
      <c r="B261" s="97" t="s">
        <v>878</v>
      </c>
      <c r="C261" s="97" t="s">
        <v>1429</v>
      </c>
      <c r="D261" s="97"/>
      <c r="E261" s="97"/>
      <c r="F261" s="97" t="s">
        <v>1427</v>
      </c>
      <c r="G261" s="132" t="str">
        <f t="shared" si="25"/>
        <v>5/7/2004</v>
      </c>
      <c r="H261" s="133">
        <v>5</v>
      </c>
      <c r="I261" s="133">
        <v>7</v>
      </c>
      <c r="J261" s="134">
        <v>2004</v>
      </c>
      <c r="K261" s="97" t="s">
        <v>56</v>
      </c>
      <c r="L261" s="134">
        <v>7593</v>
      </c>
      <c r="M261" s="97" t="s">
        <v>796</v>
      </c>
      <c r="N261" s="311">
        <v>1105</v>
      </c>
      <c r="O261" s="311" t="s">
        <v>1019</v>
      </c>
      <c r="Q261" s="245">
        <v>10</v>
      </c>
      <c r="R261" s="30">
        <v>0</v>
      </c>
      <c r="S261" s="5">
        <v>1104.0000000000002</v>
      </c>
      <c r="T261" s="5">
        <v>1104.0000000000002</v>
      </c>
      <c r="U261" s="15">
        <f t="shared" si="23"/>
        <v>0</v>
      </c>
      <c r="V261" s="313">
        <f t="shared" si="27"/>
        <v>0.99999999999977263</v>
      </c>
      <c r="W261" s="245">
        <v>4302</v>
      </c>
      <c r="X261" s="312"/>
      <c r="Y261" s="313"/>
      <c r="Z261" s="114">
        <f t="shared" si="22"/>
        <v>120</v>
      </c>
    </row>
    <row r="262" spans="1:26" s="245" customFormat="1" x14ac:dyDescent="0.25">
      <c r="A262" s="97" t="s">
        <v>1430</v>
      </c>
      <c r="B262" s="97" t="s">
        <v>1431</v>
      </c>
      <c r="C262" s="97"/>
      <c r="D262" s="97"/>
      <c r="E262" s="97"/>
      <c r="F262" s="97"/>
      <c r="G262" s="132" t="str">
        <f t="shared" si="25"/>
        <v>5/7/2004</v>
      </c>
      <c r="H262" s="133">
        <v>5</v>
      </c>
      <c r="I262" s="133">
        <v>7</v>
      </c>
      <c r="J262" s="134">
        <v>2004</v>
      </c>
      <c r="K262" s="97"/>
      <c r="L262" s="134"/>
      <c r="M262" s="97" t="s">
        <v>796</v>
      </c>
      <c r="N262" s="311">
        <v>1</v>
      </c>
      <c r="O262" s="311"/>
      <c r="Q262" s="245">
        <v>10</v>
      </c>
      <c r="R262" s="30">
        <f t="shared" si="26"/>
        <v>0</v>
      </c>
      <c r="S262" s="5">
        <v>0</v>
      </c>
      <c r="T262" s="313">
        <v>0</v>
      </c>
      <c r="U262" s="15">
        <f t="shared" si="23"/>
        <v>0</v>
      </c>
      <c r="V262" s="313">
        <f t="shared" si="27"/>
        <v>1</v>
      </c>
      <c r="X262" s="312"/>
      <c r="Y262" s="313"/>
      <c r="Z262" s="114">
        <f t="shared" si="22"/>
        <v>120</v>
      </c>
    </row>
    <row r="263" spans="1:26" s="245" customFormat="1" x14ac:dyDescent="0.25">
      <c r="A263" s="97" t="s">
        <v>1432</v>
      </c>
      <c r="B263" s="97" t="s">
        <v>1431</v>
      </c>
      <c r="C263" s="97"/>
      <c r="D263" s="97"/>
      <c r="E263" s="97"/>
      <c r="F263" s="97"/>
      <c r="G263" s="132" t="str">
        <f t="shared" si="25"/>
        <v>5/7/2004</v>
      </c>
      <c r="H263" s="133">
        <v>5</v>
      </c>
      <c r="I263" s="133">
        <v>7</v>
      </c>
      <c r="J263" s="134">
        <v>2004</v>
      </c>
      <c r="K263" s="97"/>
      <c r="L263" s="134"/>
      <c r="M263" s="97" t="s">
        <v>796</v>
      </c>
      <c r="N263" s="311">
        <v>1</v>
      </c>
      <c r="O263" s="311"/>
      <c r="Q263" s="245">
        <v>10</v>
      </c>
      <c r="R263" s="30">
        <f t="shared" si="26"/>
        <v>0</v>
      </c>
      <c r="S263" s="5">
        <v>0</v>
      </c>
      <c r="T263" s="313">
        <v>0</v>
      </c>
      <c r="U263" s="15">
        <f t="shared" si="23"/>
        <v>0</v>
      </c>
      <c r="V263" s="313">
        <f t="shared" si="27"/>
        <v>1</v>
      </c>
      <c r="X263" s="312"/>
      <c r="Y263" s="313"/>
      <c r="Z263" s="114">
        <f t="shared" ref="Z263:Z330" si="28">IF((DATEDIF(G263,Z$4,"m"))&gt;=120,120,(DATEDIF(G263,Z$4,"m")))</f>
        <v>120</v>
      </c>
    </row>
    <row r="264" spans="1:26" s="245" customFormat="1" x14ac:dyDescent="0.25">
      <c r="A264" s="97" t="s">
        <v>1433</v>
      </c>
      <c r="B264" s="97" t="s">
        <v>1434</v>
      </c>
      <c r="C264" s="97"/>
      <c r="D264" s="97"/>
      <c r="E264" s="97"/>
      <c r="F264" s="97"/>
      <c r="G264" s="132" t="str">
        <f t="shared" si="25"/>
        <v>5/7/2004</v>
      </c>
      <c r="H264" s="133">
        <v>5</v>
      </c>
      <c r="I264" s="133">
        <v>7</v>
      </c>
      <c r="J264" s="134">
        <v>2004</v>
      </c>
      <c r="K264" s="97"/>
      <c r="L264" s="134"/>
      <c r="M264" s="97" t="s">
        <v>796</v>
      </c>
      <c r="N264" s="311">
        <v>1</v>
      </c>
      <c r="O264" s="311" t="s">
        <v>1435</v>
      </c>
      <c r="Q264" s="245">
        <v>10</v>
      </c>
      <c r="R264" s="30">
        <f t="shared" si="26"/>
        <v>0</v>
      </c>
      <c r="S264" s="5">
        <v>0</v>
      </c>
      <c r="T264" s="313">
        <v>0</v>
      </c>
      <c r="U264" s="15">
        <f t="shared" ref="U264:U327" si="29">T264-S264</f>
        <v>0</v>
      </c>
      <c r="V264" s="313">
        <f t="shared" si="27"/>
        <v>1</v>
      </c>
      <c r="X264" s="312"/>
      <c r="Y264" s="313"/>
      <c r="Z264" s="114">
        <f t="shared" si="28"/>
        <v>120</v>
      </c>
    </row>
    <row r="265" spans="1:26" s="245" customFormat="1" x14ac:dyDescent="0.25">
      <c r="A265" s="97" t="s">
        <v>1436</v>
      </c>
      <c r="B265" s="97" t="s">
        <v>1335</v>
      </c>
      <c r="C265" s="97" t="s">
        <v>1437</v>
      </c>
      <c r="D265" s="97"/>
      <c r="E265" s="97"/>
      <c r="F265" s="97"/>
      <c r="G265" s="132" t="str">
        <f t="shared" si="25"/>
        <v>5/7/2004</v>
      </c>
      <c r="H265" s="133">
        <v>5</v>
      </c>
      <c r="I265" s="133">
        <v>7</v>
      </c>
      <c r="J265" s="134">
        <v>2004</v>
      </c>
      <c r="K265" s="97"/>
      <c r="L265" s="134"/>
      <c r="M265" s="97" t="s">
        <v>796</v>
      </c>
      <c r="N265" s="311">
        <v>1</v>
      </c>
      <c r="O265" s="311"/>
      <c r="Q265" s="245">
        <v>10</v>
      </c>
      <c r="R265" s="30">
        <f t="shared" si="26"/>
        <v>0</v>
      </c>
      <c r="S265" s="5">
        <v>0</v>
      </c>
      <c r="T265" s="313">
        <v>0</v>
      </c>
      <c r="U265" s="15">
        <f t="shared" si="29"/>
        <v>0</v>
      </c>
      <c r="V265" s="313">
        <f t="shared" ref="V265:V296" si="30">N265-T265</f>
        <v>1</v>
      </c>
      <c r="X265" s="312"/>
      <c r="Y265" s="313"/>
      <c r="Z265" s="114">
        <f t="shared" si="28"/>
        <v>120</v>
      </c>
    </row>
    <row r="266" spans="1:26" s="318" customFormat="1" x14ac:dyDescent="0.25">
      <c r="A266" s="97" t="s">
        <v>1438</v>
      </c>
      <c r="B266" s="97" t="s">
        <v>1439</v>
      </c>
      <c r="C266" s="97"/>
      <c r="D266" s="97" t="s">
        <v>1440</v>
      </c>
      <c r="E266" s="97"/>
      <c r="F266" s="97"/>
      <c r="G266" s="132" t="str">
        <f t="shared" si="25"/>
        <v>5/7/2004</v>
      </c>
      <c r="H266" s="133">
        <v>5</v>
      </c>
      <c r="I266" s="133">
        <v>7</v>
      </c>
      <c r="J266" s="134">
        <v>2004</v>
      </c>
      <c r="K266" s="97"/>
      <c r="L266" s="134"/>
      <c r="M266" s="97" t="s">
        <v>796</v>
      </c>
      <c r="N266" s="311">
        <v>1</v>
      </c>
      <c r="O266" s="311" t="s">
        <v>1441</v>
      </c>
      <c r="P266" s="245"/>
      <c r="Q266" s="245">
        <v>10</v>
      </c>
      <c r="R266" s="30">
        <f t="shared" si="26"/>
        <v>0</v>
      </c>
      <c r="S266" s="5">
        <v>0</v>
      </c>
      <c r="T266" s="313">
        <v>0</v>
      </c>
      <c r="U266" s="15">
        <f t="shared" si="29"/>
        <v>0</v>
      </c>
      <c r="V266" s="313">
        <f t="shared" si="30"/>
        <v>1</v>
      </c>
      <c r="W266" s="245"/>
      <c r="X266" s="312"/>
      <c r="Y266" s="313"/>
      <c r="Z266" s="114">
        <f t="shared" si="28"/>
        <v>120</v>
      </c>
    </row>
    <row r="267" spans="1:26" s="245" customFormat="1" x14ac:dyDescent="0.25">
      <c r="A267" s="97" t="s">
        <v>1442</v>
      </c>
      <c r="B267" s="97" t="s">
        <v>1439</v>
      </c>
      <c r="C267" s="97"/>
      <c r="D267" s="97" t="s">
        <v>1440</v>
      </c>
      <c r="E267" s="97"/>
      <c r="F267" s="97"/>
      <c r="G267" s="132" t="str">
        <f t="shared" si="25"/>
        <v>5/7/2004</v>
      </c>
      <c r="H267" s="133">
        <v>5</v>
      </c>
      <c r="I267" s="133">
        <v>7</v>
      </c>
      <c r="J267" s="134">
        <v>2004</v>
      </c>
      <c r="K267" s="97"/>
      <c r="L267" s="134"/>
      <c r="M267" s="97" t="s">
        <v>796</v>
      </c>
      <c r="N267" s="311">
        <v>1</v>
      </c>
      <c r="O267" s="311" t="s">
        <v>1441</v>
      </c>
      <c r="Q267" s="245">
        <v>10</v>
      </c>
      <c r="R267" s="30">
        <f t="shared" si="26"/>
        <v>0</v>
      </c>
      <c r="S267" s="5">
        <v>0</v>
      </c>
      <c r="T267" s="313">
        <v>0</v>
      </c>
      <c r="U267" s="15">
        <f t="shared" si="29"/>
        <v>0</v>
      </c>
      <c r="V267" s="313">
        <f t="shared" si="30"/>
        <v>1</v>
      </c>
      <c r="X267" s="312"/>
      <c r="Y267" s="313"/>
      <c r="Z267" s="114">
        <f t="shared" si="28"/>
        <v>120</v>
      </c>
    </row>
    <row r="268" spans="1:26" s="318" customFormat="1" x14ac:dyDescent="0.25">
      <c r="A268" s="97" t="s">
        <v>1443</v>
      </c>
      <c r="B268" s="97" t="s">
        <v>1335</v>
      </c>
      <c r="C268" s="97" t="s">
        <v>1437</v>
      </c>
      <c r="D268" s="97"/>
      <c r="E268" s="97"/>
      <c r="F268" s="97"/>
      <c r="G268" s="132" t="str">
        <f t="shared" si="25"/>
        <v>5/7/2004</v>
      </c>
      <c r="H268" s="133">
        <v>5</v>
      </c>
      <c r="I268" s="133">
        <v>7</v>
      </c>
      <c r="J268" s="134">
        <v>2004</v>
      </c>
      <c r="K268" s="97"/>
      <c r="L268" s="134"/>
      <c r="M268" s="97" t="s">
        <v>796</v>
      </c>
      <c r="N268" s="311">
        <v>1</v>
      </c>
      <c r="O268" s="311"/>
      <c r="P268" s="245"/>
      <c r="Q268" s="245">
        <v>10</v>
      </c>
      <c r="R268" s="30">
        <f t="shared" si="26"/>
        <v>0</v>
      </c>
      <c r="S268" s="5">
        <v>0</v>
      </c>
      <c r="T268" s="313">
        <v>0</v>
      </c>
      <c r="U268" s="15">
        <f t="shared" si="29"/>
        <v>0</v>
      </c>
      <c r="V268" s="313">
        <f t="shared" si="30"/>
        <v>1</v>
      </c>
      <c r="W268" s="245"/>
      <c r="X268" s="312"/>
      <c r="Y268" s="313"/>
      <c r="Z268" s="114">
        <f t="shared" si="28"/>
        <v>120</v>
      </c>
    </row>
    <row r="269" spans="1:26" s="245" customFormat="1" x14ac:dyDescent="0.25">
      <c r="A269" s="97" t="s">
        <v>1444</v>
      </c>
      <c r="B269" s="97" t="s">
        <v>1445</v>
      </c>
      <c r="C269" s="97"/>
      <c r="D269" s="97"/>
      <c r="E269" s="97"/>
      <c r="F269" s="97"/>
      <c r="G269" s="132" t="str">
        <f t="shared" si="25"/>
        <v>5/7/2004</v>
      </c>
      <c r="H269" s="133">
        <v>5</v>
      </c>
      <c r="I269" s="133">
        <v>7</v>
      </c>
      <c r="J269" s="134">
        <v>2004</v>
      </c>
      <c r="K269" s="97"/>
      <c r="L269" s="134"/>
      <c r="M269" s="97" t="s">
        <v>796</v>
      </c>
      <c r="N269" s="311">
        <v>1</v>
      </c>
      <c r="O269" s="311"/>
      <c r="Q269" s="245">
        <v>10</v>
      </c>
      <c r="R269" s="30">
        <f t="shared" si="26"/>
        <v>0</v>
      </c>
      <c r="S269" s="5">
        <v>0</v>
      </c>
      <c r="T269" s="313">
        <v>0</v>
      </c>
      <c r="U269" s="15">
        <f t="shared" si="29"/>
        <v>0</v>
      </c>
      <c r="V269" s="313">
        <f t="shared" si="30"/>
        <v>1</v>
      </c>
      <c r="X269" s="312"/>
      <c r="Y269" s="313"/>
      <c r="Z269" s="114">
        <f t="shared" si="28"/>
        <v>120</v>
      </c>
    </row>
    <row r="270" spans="1:26" s="245" customFormat="1" x14ac:dyDescent="0.25">
      <c r="A270" s="148" t="s">
        <v>1446</v>
      </c>
      <c r="B270" s="148" t="s">
        <v>1447</v>
      </c>
      <c r="C270" s="148"/>
      <c r="D270" s="148"/>
      <c r="E270" s="148"/>
      <c r="F270" s="148"/>
      <c r="G270" s="149" t="str">
        <f t="shared" si="25"/>
        <v>5/7/2004</v>
      </c>
      <c r="H270" s="133">
        <v>5</v>
      </c>
      <c r="I270" s="133">
        <v>7</v>
      </c>
      <c r="J270" s="134">
        <v>2004</v>
      </c>
      <c r="K270" s="148"/>
      <c r="L270" s="151"/>
      <c r="M270" s="148" t="s">
        <v>796</v>
      </c>
      <c r="N270" s="317">
        <v>1</v>
      </c>
      <c r="O270" s="311"/>
      <c r="Q270" s="245">
        <v>10</v>
      </c>
      <c r="R270" s="18">
        <f t="shared" si="26"/>
        <v>0</v>
      </c>
      <c r="S270" s="5">
        <v>0</v>
      </c>
      <c r="T270" s="319">
        <v>0</v>
      </c>
      <c r="U270" s="15">
        <f t="shared" si="29"/>
        <v>0</v>
      </c>
      <c r="V270" s="319">
        <f t="shared" si="30"/>
        <v>1</v>
      </c>
      <c r="W270" s="318"/>
      <c r="X270" s="320"/>
      <c r="Y270" s="319"/>
      <c r="Z270" s="155">
        <f t="shared" si="28"/>
        <v>120</v>
      </c>
    </row>
    <row r="271" spans="1:26" s="245" customFormat="1" x14ac:dyDescent="0.25">
      <c r="A271" s="148" t="s">
        <v>1448</v>
      </c>
      <c r="B271" s="148" t="s">
        <v>1447</v>
      </c>
      <c r="C271" s="148"/>
      <c r="D271" s="148"/>
      <c r="E271" s="148"/>
      <c r="F271" s="148"/>
      <c r="G271" s="149" t="str">
        <f t="shared" si="25"/>
        <v>5/7/2004</v>
      </c>
      <c r="H271" s="133">
        <v>5</v>
      </c>
      <c r="I271" s="133">
        <v>7</v>
      </c>
      <c r="J271" s="134">
        <v>2004</v>
      </c>
      <c r="K271" s="148"/>
      <c r="L271" s="151"/>
      <c r="M271" s="148" t="s">
        <v>796</v>
      </c>
      <c r="N271" s="317">
        <v>1</v>
      </c>
      <c r="O271" s="311"/>
      <c r="Q271" s="245">
        <v>10</v>
      </c>
      <c r="R271" s="18">
        <f t="shared" si="26"/>
        <v>0</v>
      </c>
      <c r="S271" s="5">
        <v>0</v>
      </c>
      <c r="T271" s="319">
        <v>0</v>
      </c>
      <c r="U271" s="15">
        <f t="shared" si="29"/>
        <v>0</v>
      </c>
      <c r="V271" s="319">
        <f t="shared" si="30"/>
        <v>1</v>
      </c>
      <c r="W271" s="318"/>
      <c r="X271" s="320"/>
      <c r="Y271" s="319"/>
      <c r="Z271" s="155">
        <f t="shared" si="28"/>
        <v>120</v>
      </c>
    </row>
    <row r="272" spans="1:26" s="245" customFormat="1" x14ac:dyDescent="0.25">
      <c r="A272" s="148" t="s">
        <v>1449</v>
      </c>
      <c r="B272" s="148" t="s">
        <v>1447</v>
      </c>
      <c r="C272" s="148"/>
      <c r="D272" s="148"/>
      <c r="E272" s="148"/>
      <c r="F272" s="148"/>
      <c r="G272" s="149" t="str">
        <f t="shared" si="25"/>
        <v>5/7/2004</v>
      </c>
      <c r="H272" s="133">
        <v>5</v>
      </c>
      <c r="I272" s="133">
        <v>7</v>
      </c>
      <c r="J272" s="134">
        <v>2004</v>
      </c>
      <c r="K272" s="148"/>
      <c r="L272" s="151"/>
      <c r="M272" s="148" t="s">
        <v>796</v>
      </c>
      <c r="N272" s="317">
        <v>1</v>
      </c>
      <c r="O272" s="311"/>
      <c r="Q272" s="245">
        <v>10</v>
      </c>
      <c r="R272" s="18">
        <f t="shared" si="26"/>
        <v>0</v>
      </c>
      <c r="S272" s="5">
        <v>0</v>
      </c>
      <c r="T272" s="319">
        <v>0</v>
      </c>
      <c r="U272" s="15">
        <f t="shared" si="29"/>
        <v>0</v>
      </c>
      <c r="V272" s="319">
        <f t="shared" si="30"/>
        <v>1</v>
      </c>
      <c r="W272" s="318"/>
      <c r="X272" s="320"/>
      <c r="Y272" s="319"/>
      <c r="Z272" s="155">
        <f t="shared" si="28"/>
        <v>120</v>
      </c>
    </row>
    <row r="273" spans="1:26" s="245" customFormat="1" x14ac:dyDescent="0.25">
      <c r="A273" s="148" t="s">
        <v>1450</v>
      </c>
      <c r="B273" s="148" t="s">
        <v>1447</v>
      </c>
      <c r="C273" s="148"/>
      <c r="D273" s="148"/>
      <c r="E273" s="148"/>
      <c r="F273" s="148"/>
      <c r="G273" s="149" t="str">
        <f t="shared" si="25"/>
        <v>5/7/2004</v>
      </c>
      <c r="H273" s="133">
        <v>5</v>
      </c>
      <c r="I273" s="133">
        <v>7</v>
      </c>
      <c r="J273" s="134">
        <v>2004</v>
      </c>
      <c r="K273" s="148"/>
      <c r="L273" s="151"/>
      <c r="M273" s="148" t="s">
        <v>796</v>
      </c>
      <c r="N273" s="317">
        <v>1</v>
      </c>
      <c r="O273" s="311"/>
      <c r="Q273" s="245">
        <v>10</v>
      </c>
      <c r="R273" s="18">
        <f t="shared" si="26"/>
        <v>0</v>
      </c>
      <c r="S273" s="5">
        <v>0</v>
      </c>
      <c r="T273" s="319">
        <v>0</v>
      </c>
      <c r="U273" s="15">
        <f t="shared" si="29"/>
        <v>0</v>
      </c>
      <c r="V273" s="319">
        <f t="shared" si="30"/>
        <v>1</v>
      </c>
      <c r="W273" s="318"/>
      <c r="X273" s="320"/>
      <c r="Y273" s="319"/>
      <c r="Z273" s="155">
        <f t="shared" si="28"/>
        <v>120</v>
      </c>
    </row>
    <row r="274" spans="1:26" s="318" customFormat="1" x14ac:dyDescent="0.25">
      <c r="A274" s="148" t="s">
        <v>1451</v>
      </c>
      <c r="B274" s="148" t="s">
        <v>1452</v>
      </c>
      <c r="C274" s="148"/>
      <c r="D274" s="148"/>
      <c r="E274" s="148"/>
      <c r="F274" s="148"/>
      <c r="G274" s="149" t="str">
        <f t="shared" si="25"/>
        <v>5/7/2004</v>
      </c>
      <c r="H274" s="133">
        <v>5</v>
      </c>
      <c r="I274" s="133">
        <v>7</v>
      </c>
      <c r="J274" s="134">
        <v>2004</v>
      </c>
      <c r="K274" s="148"/>
      <c r="L274" s="151"/>
      <c r="M274" s="148" t="s">
        <v>796</v>
      </c>
      <c r="N274" s="317">
        <v>1</v>
      </c>
      <c r="O274" s="311" t="s">
        <v>1019</v>
      </c>
      <c r="P274" s="245"/>
      <c r="Q274" s="245">
        <v>10</v>
      </c>
      <c r="R274" s="18">
        <f t="shared" si="26"/>
        <v>0</v>
      </c>
      <c r="S274" s="5">
        <v>0</v>
      </c>
      <c r="T274" s="319">
        <v>0</v>
      </c>
      <c r="U274" s="15">
        <f t="shared" si="29"/>
        <v>0</v>
      </c>
      <c r="V274" s="319">
        <f t="shared" si="30"/>
        <v>1</v>
      </c>
      <c r="X274" s="320"/>
      <c r="Y274" s="319"/>
      <c r="Z274" s="155">
        <f t="shared" si="28"/>
        <v>120</v>
      </c>
    </row>
    <row r="275" spans="1:26" s="318" customFormat="1" x14ac:dyDescent="0.25">
      <c r="A275" s="148" t="s">
        <v>1453</v>
      </c>
      <c r="B275" s="148" t="s">
        <v>1439</v>
      </c>
      <c r="C275" s="148"/>
      <c r="D275" s="148" t="s">
        <v>1454</v>
      </c>
      <c r="E275" s="148"/>
      <c r="F275" s="148"/>
      <c r="G275" s="149" t="str">
        <f t="shared" si="25"/>
        <v>5/7/2004</v>
      </c>
      <c r="H275" s="150">
        <v>5</v>
      </c>
      <c r="I275" s="150">
        <v>7</v>
      </c>
      <c r="J275" s="151">
        <v>2004</v>
      </c>
      <c r="K275" s="148"/>
      <c r="L275" s="151"/>
      <c r="M275" s="148" t="s">
        <v>796</v>
      </c>
      <c r="N275" s="317">
        <v>1</v>
      </c>
      <c r="O275" s="317" t="s">
        <v>1019</v>
      </c>
      <c r="Q275" s="318">
        <v>10</v>
      </c>
      <c r="R275" s="18">
        <f t="shared" si="26"/>
        <v>0</v>
      </c>
      <c r="S275" s="554">
        <v>0</v>
      </c>
      <c r="T275" s="319">
        <v>0</v>
      </c>
      <c r="U275" s="555">
        <f t="shared" si="29"/>
        <v>0</v>
      </c>
      <c r="V275" s="319">
        <f t="shared" si="30"/>
        <v>1</v>
      </c>
      <c r="X275" s="320"/>
      <c r="Y275" s="319"/>
      <c r="Z275" s="155">
        <f t="shared" si="28"/>
        <v>120</v>
      </c>
    </row>
    <row r="276" spans="1:26" s="245" customFormat="1" x14ac:dyDescent="0.25">
      <c r="A276" s="97" t="s">
        <v>1455</v>
      </c>
      <c r="B276" s="97" t="s">
        <v>1024</v>
      </c>
      <c r="C276" s="97" t="s">
        <v>1456</v>
      </c>
      <c r="D276" s="97" t="s">
        <v>1457</v>
      </c>
      <c r="E276" s="138" t="s">
        <v>1458</v>
      </c>
      <c r="F276" s="97" t="s">
        <v>1427</v>
      </c>
      <c r="G276" s="132" t="str">
        <f t="shared" si="25"/>
        <v>28/2/2006</v>
      </c>
      <c r="H276" s="133">
        <v>28</v>
      </c>
      <c r="I276" s="133">
        <v>2</v>
      </c>
      <c r="J276" s="134">
        <v>2006</v>
      </c>
      <c r="K276" s="97" t="s">
        <v>56</v>
      </c>
      <c r="L276" s="134">
        <v>9414</v>
      </c>
      <c r="M276" s="97" t="s">
        <v>796</v>
      </c>
      <c r="N276" s="311">
        <v>12120</v>
      </c>
      <c r="O276" s="311" t="s">
        <v>1027</v>
      </c>
      <c r="Q276" s="245">
        <v>5</v>
      </c>
      <c r="R276" s="30">
        <f t="shared" si="26"/>
        <v>100.99166666666667</v>
      </c>
      <c r="S276" s="5">
        <v>11917.016666666668</v>
      </c>
      <c r="T276" s="313">
        <f t="shared" ref="T276" si="31">Z276*R276</f>
        <v>12018.008333333335</v>
      </c>
      <c r="U276" s="15">
        <f t="shared" si="29"/>
        <v>100.99166666666679</v>
      </c>
      <c r="V276" s="313">
        <f t="shared" si="30"/>
        <v>101.99166666666497</v>
      </c>
      <c r="W276" s="245">
        <v>7989</v>
      </c>
      <c r="X276" s="312"/>
      <c r="Y276" s="313"/>
      <c r="Z276" s="114">
        <f t="shared" si="28"/>
        <v>119</v>
      </c>
    </row>
    <row r="277" spans="1:26" s="245" customFormat="1" x14ac:dyDescent="0.25">
      <c r="A277" s="97" t="s">
        <v>1459</v>
      </c>
      <c r="B277" s="97" t="s">
        <v>1460</v>
      </c>
      <c r="C277" s="97" t="s">
        <v>1461</v>
      </c>
      <c r="D277" s="97" t="s">
        <v>1462</v>
      </c>
      <c r="E277" s="97"/>
      <c r="F277" s="97" t="s">
        <v>1463</v>
      </c>
      <c r="G277" s="132" t="str">
        <f t="shared" si="25"/>
        <v>21/3/2005</v>
      </c>
      <c r="H277" s="133">
        <v>21</v>
      </c>
      <c r="I277" s="133">
        <v>3</v>
      </c>
      <c r="J277" s="134">
        <v>2005</v>
      </c>
      <c r="K277" s="97" t="s">
        <v>56</v>
      </c>
      <c r="L277" s="134">
        <v>236</v>
      </c>
      <c r="M277" s="97" t="s">
        <v>796</v>
      </c>
      <c r="N277" s="311">
        <v>12426.01</v>
      </c>
      <c r="O277" s="311"/>
      <c r="Q277" s="245">
        <v>10</v>
      </c>
      <c r="R277" s="30">
        <v>0</v>
      </c>
      <c r="S277" s="5">
        <v>12425.009999999998</v>
      </c>
      <c r="T277" s="5">
        <v>12425.009999999998</v>
      </c>
      <c r="U277" s="15">
        <f t="shared" si="29"/>
        <v>0</v>
      </c>
      <c r="V277" s="313">
        <f t="shared" si="30"/>
        <v>1.000000000001819</v>
      </c>
      <c r="W277" s="245">
        <v>5931</v>
      </c>
      <c r="X277" s="312"/>
      <c r="Y277" s="313"/>
      <c r="Z277" s="114">
        <f t="shared" si="28"/>
        <v>120</v>
      </c>
    </row>
    <row r="278" spans="1:26" s="245" customFormat="1" x14ac:dyDescent="0.25">
      <c r="A278" s="156" t="s">
        <v>1464</v>
      </c>
      <c r="B278" s="156" t="s">
        <v>1465</v>
      </c>
      <c r="C278" s="156"/>
      <c r="D278" s="156"/>
      <c r="E278" s="156"/>
      <c r="F278" s="156"/>
      <c r="G278" s="157" t="str">
        <f t="shared" si="25"/>
        <v>21/3/2005</v>
      </c>
      <c r="H278" s="133">
        <v>21</v>
      </c>
      <c r="I278" s="133">
        <v>3</v>
      </c>
      <c r="J278" s="134">
        <v>2005</v>
      </c>
      <c r="K278" s="156"/>
      <c r="L278" s="158"/>
      <c r="M278" s="156" t="s">
        <v>796</v>
      </c>
      <c r="N278" s="321">
        <v>1</v>
      </c>
      <c r="O278" s="314"/>
      <c r="P278" s="315"/>
      <c r="Q278" s="315">
        <v>10</v>
      </c>
      <c r="R278" s="159">
        <f t="shared" si="26"/>
        <v>0</v>
      </c>
      <c r="S278" s="5">
        <v>0</v>
      </c>
      <c r="T278" s="323">
        <v>0</v>
      </c>
      <c r="U278" s="15">
        <f t="shared" si="29"/>
        <v>0</v>
      </c>
      <c r="V278" s="323">
        <f t="shared" si="30"/>
        <v>1</v>
      </c>
      <c r="W278" s="322"/>
      <c r="X278" s="324"/>
      <c r="Y278" s="323"/>
      <c r="Z278" s="160">
        <f t="shared" si="28"/>
        <v>120</v>
      </c>
    </row>
    <row r="279" spans="1:26" s="245" customFormat="1" x14ac:dyDescent="0.25">
      <c r="A279" s="166" t="s">
        <v>1466</v>
      </c>
      <c r="B279" s="166" t="s">
        <v>1467</v>
      </c>
      <c r="C279" s="166"/>
      <c r="D279" s="166"/>
      <c r="E279" s="166"/>
      <c r="F279" s="166"/>
      <c r="G279" s="167" t="str">
        <f t="shared" si="25"/>
        <v>21/3/2005</v>
      </c>
      <c r="H279" s="133">
        <v>21</v>
      </c>
      <c r="I279" s="133">
        <v>3</v>
      </c>
      <c r="J279" s="134">
        <v>2005</v>
      </c>
      <c r="K279" s="166"/>
      <c r="L279" s="169"/>
      <c r="M279" s="166" t="s">
        <v>796</v>
      </c>
      <c r="N279" s="329">
        <v>1</v>
      </c>
      <c r="O279" s="311"/>
      <c r="Q279" s="245">
        <v>10</v>
      </c>
      <c r="R279" s="170">
        <f t="shared" si="26"/>
        <v>0</v>
      </c>
      <c r="S279" s="5">
        <v>0</v>
      </c>
      <c r="T279" s="331">
        <v>0</v>
      </c>
      <c r="U279" s="15">
        <f t="shared" si="29"/>
        <v>0</v>
      </c>
      <c r="V279" s="331">
        <f t="shared" si="30"/>
        <v>1</v>
      </c>
      <c r="W279" s="330"/>
      <c r="X279" s="332"/>
      <c r="Y279" s="331"/>
      <c r="Z279" s="171">
        <f t="shared" si="28"/>
        <v>120</v>
      </c>
    </row>
    <row r="280" spans="1:26" s="318" customFormat="1" x14ac:dyDescent="0.25">
      <c r="A280" s="148" t="s">
        <v>1468</v>
      </c>
      <c r="B280" s="148" t="s">
        <v>1439</v>
      </c>
      <c r="C280" s="148"/>
      <c r="D280" s="148" t="s">
        <v>1469</v>
      </c>
      <c r="E280" s="148"/>
      <c r="F280" s="148"/>
      <c r="G280" s="149" t="str">
        <f t="shared" si="25"/>
        <v>21/3/2005</v>
      </c>
      <c r="H280" s="150">
        <v>21</v>
      </c>
      <c r="I280" s="150">
        <v>3</v>
      </c>
      <c r="J280" s="151">
        <v>2005</v>
      </c>
      <c r="K280" s="148"/>
      <c r="L280" s="151"/>
      <c r="M280" s="148" t="s">
        <v>796</v>
      </c>
      <c r="N280" s="317">
        <v>1</v>
      </c>
      <c r="O280" s="317" t="s">
        <v>1019</v>
      </c>
      <c r="Q280" s="318">
        <v>10</v>
      </c>
      <c r="R280" s="18">
        <f t="shared" si="26"/>
        <v>0</v>
      </c>
      <c r="S280" s="5">
        <v>0</v>
      </c>
      <c r="T280" s="319">
        <v>0</v>
      </c>
      <c r="U280" s="555">
        <f t="shared" si="29"/>
        <v>0</v>
      </c>
      <c r="V280" s="319">
        <f t="shared" si="30"/>
        <v>1</v>
      </c>
      <c r="X280" s="320"/>
      <c r="Y280" s="319"/>
      <c r="Z280" s="155">
        <f t="shared" si="28"/>
        <v>120</v>
      </c>
    </row>
    <row r="281" spans="1:26" s="318" customFormat="1" x14ac:dyDescent="0.25">
      <c r="A281" s="148" t="s">
        <v>1470</v>
      </c>
      <c r="B281" s="148" t="s">
        <v>1439</v>
      </c>
      <c r="C281" s="148"/>
      <c r="D281" s="148" t="s">
        <v>1469</v>
      </c>
      <c r="E281" s="148"/>
      <c r="F281" s="148"/>
      <c r="G281" s="149" t="str">
        <f t="shared" si="25"/>
        <v>21/3/2005</v>
      </c>
      <c r="H281" s="150">
        <v>21</v>
      </c>
      <c r="I281" s="150">
        <v>3</v>
      </c>
      <c r="J281" s="151">
        <v>2005</v>
      </c>
      <c r="K281" s="148"/>
      <c r="L281" s="151"/>
      <c r="M281" s="148" t="s">
        <v>796</v>
      </c>
      <c r="N281" s="317">
        <v>1</v>
      </c>
      <c r="O281" s="317" t="s">
        <v>1019</v>
      </c>
      <c r="Q281" s="318">
        <v>10</v>
      </c>
      <c r="R281" s="18">
        <f t="shared" si="26"/>
        <v>0</v>
      </c>
      <c r="S281" s="5">
        <v>0</v>
      </c>
      <c r="T281" s="319">
        <v>0</v>
      </c>
      <c r="U281" s="555">
        <f t="shared" si="29"/>
        <v>0</v>
      </c>
      <c r="V281" s="319">
        <f t="shared" si="30"/>
        <v>1</v>
      </c>
      <c r="X281" s="320"/>
      <c r="Y281" s="319"/>
      <c r="Z281" s="155">
        <f t="shared" si="28"/>
        <v>120</v>
      </c>
    </row>
    <row r="282" spans="1:26" s="245" customFormat="1" x14ac:dyDescent="0.25">
      <c r="A282" s="97" t="s">
        <v>1471</v>
      </c>
      <c r="B282" s="97" t="s">
        <v>1472</v>
      </c>
      <c r="C282" s="97" t="s">
        <v>1473</v>
      </c>
      <c r="D282" s="97" t="s">
        <v>1474</v>
      </c>
      <c r="E282" s="97"/>
      <c r="F282" s="97" t="s">
        <v>1475</v>
      </c>
      <c r="G282" s="132" t="str">
        <f t="shared" si="25"/>
        <v>13/8/2004</v>
      </c>
      <c r="H282" s="133">
        <v>13</v>
      </c>
      <c r="I282" s="133">
        <v>8</v>
      </c>
      <c r="J282" s="134">
        <v>2004</v>
      </c>
      <c r="K282" s="97" t="s">
        <v>1476</v>
      </c>
      <c r="L282" s="134">
        <v>1086</v>
      </c>
      <c r="M282" s="97" t="s">
        <v>796</v>
      </c>
      <c r="N282" s="311">
        <v>15000</v>
      </c>
      <c r="O282" s="311" t="s">
        <v>1477</v>
      </c>
      <c r="Q282" s="245">
        <v>10</v>
      </c>
      <c r="R282" s="30">
        <v>0</v>
      </c>
      <c r="S282" s="5">
        <v>14999</v>
      </c>
      <c r="T282" s="5">
        <v>14999</v>
      </c>
      <c r="U282" s="15">
        <f t="shared" si="29"/>
        <v>0</v>
      </c>
      <c r="V282" s="313">
        <f t="shared" si="30"/>
        <v>1</v>
      </c>
      <c r="W282" s="245">
        <v>4557</v>
      </c>
      <c r="X282" s="312"/>
      <c r="Y282" s="313"/>
      <c r="Z282" s="114">
        <f t="shared" si="28"/>
        <v>120</v>
      </c>
    </row>
    <row r="283" spans="1:26" s="318" customFormat="1" x14ac:dyDescent="0.25">
      <c r="A283" s="148" t="s">
        <v>1478</v>
      </c>
      <c r="B283" s="148" t="s">
        <v>1479</v>
      </c>
      <c r="C283" s="148" t="s">
        <v>1480</v>
      </c>
      <c r="D283" s="148"/>
      <c r="E283" s="148"/>
      <c r="F283" s="148" t="s">
        <v>1481</v>
      </c>
      <c r="G283" s="149" t="str">
        <f t="shared" si="25"/>
        <v>27/5/2004</v>
      </c>
      <c r="H283" s="150">
        <v>27</v>
      </c>
      <c r="I283" s="150">
        <v>5</v>
      </c>
      <c r="J283" s="151">
        <v>2004</v>
      </c>
      <c r="K283" s="148" t="s">
        <v>56</v>
      </c>
      <c r="L283" s="151">
        <v>38138</v>
      </c>
      <c r="M283" s="148" t="s">
        <v>796</v>
      </c>
      <c r="N283" s="317">
        <v>4826.5</v>
      </c>
      <c r="O283" s="317" t="s">
        <v>1019</v>
      </c>
      <c r="Q283" s="318">
        <v>10</v>
      </c>
      <c r="R283" s="18">
        <v>0</v>
      </c>
      <c r="S283" s="5">
        <v>4825.5</v>
      </c>
      <c r="T283" s="5">
        <v>4825.5</v>
      </c>
      <c r="U283" s="555">
        <f t="shared" si="29"/>
        <v>0</v>
      </c>
      <c r="V283" s="319">
        <f t="shared" si="30"/>
        <v>1</v>
      </c>
      <c r="W283" s="318">
        <v>3928</v>
      </c>
      <c r="X283" s="320"/>
      <c r="Y283" s="319"/>
      <c r="Z283" s="155">
        <f t="shared" si="28"/>
        <v>120</v>
      </c>
    </row>
    <row r="284" spans="1:26" s="245" customFormat="1" x14ac:dyDescent="0.25">
      <c r="A284" s="97" t="s">
        <v>1482</v>
      </c>
      <c r="B284" s="97" t="s">
        <v>1483</v>
      </c>
      <c r="C284" s="97" t="s">
        <v>1363</v>
      </c>
      <c r="D284" s="97" t="s">
        <v>1484</v>
      </c>
      <c r="E284" s="97">
        <v>63120112169</v>
      </c>
      <c r="F284" s="97"/>
      <c r="G284" s="132" t="str">
        <f t="shared" si="25"/>
        <v>27/5/2004</v>
      </c>
      <c r="H284" s="133">
        <v>27</v>
      </c>
      <c r="I284" s="133">
        <v>5</v>
      </c>
      <c r="J284" s="134">
        <v>2004</v>
      </c>
      <c r="K284" s="97"/>
      <c r="L284" s="134"/>
      <c r="M284" s="97" t="s">
        <v>796</v>
      </c>
      <c r="N284" s="311">
        <v>1</v>
      </c>
      <c r="O284" s="311" t="s">
        <v>1441</v>
      </c>
      <c r="Q284" s="245">
        <v>10</v>
      </c>
      <c r="R284" s="30">
        <f t="shared" si="26"/>
        <v>0</v>
      </c>
      <c r="S284" s="5">
        <v>0</v>
      </c>
      <c r="T284" s="313">
        <v>0</v>
      </c>
      <c r="U284" s="15">
        <f t="shared" si="29"/>
        <v>0</v>
      </c>
      <c r="V284" s="313">
        <f t="shared" si="30"/>
        <v>1</v>
      </c>
      <c r="X284" s="312"/>
      <c r="Y284" s="313"/>
      <c r="Z284" s="114">
        <f t="shared" si="28"/>
        <v>120</v>
      </c>
    </row>
    <row r="285" spans="1:26" s="245" customFormat="1" x14ac:dyDescent="0.25">
      <c r="A285" s="97" t="s">
        <v>1485</v>
      </c>
      <c r="B285" s="97" t="s">
        <v>1486</v>
      </c>
      <c r="C285" s="97"/>
      <c r="D285" s="97">
        <v>2001</v>
      </c>
      <c r="E285" s="97"/>
      <c r="F285" s="97" t="s">
        <v>1006</v>
      </c>
      <c r="G285" s="132" t="str">
        <f t="shared" si="25"/>
        <v>23/3/2006</v>
      </c>
      <c r="H285" s="133">
        <v>23</v>
      </c>
      <c r="I285" s="133">
        <v>3</v>
      </c>
      <c r="J285" s="134">
        <v>2006</v>
      </c>
      <c r="K285" s="97" t="s">
        <v>56</v>
      </c>
      <c r="L285" s="97">
        <v>8006</v>
      </c>
      <c r="M285" s="97" t="s">
        <v>796</v>
      </c>
      <c r="N285" s="311">
        <v>7472.21</v>
      </c>
      <c r="O285" s="311" t="s">
        <v>974</v>
      </c>
      <c r="Q285" s="245">
        <v>10</v>
      </c>
      <c r="R285" s="30">
        <f t="shared" si="26"/>
        <v>62.260083333333334</v>
      </c>
      <c r="S285" s="5">
        <v>7284.4297500000002</v>
      </c>
      <c r="T285" s="313">
        <f t="shared" ref="T285:T330" si="32">Z285*R285</f>
        <v>7346.6898333333338</v>
      </c>
      <c r="U285" s="15">
        <f t="shared" si="29"/>
        <v>62.260083333333569</v>
      </c>
      <c r="V285" s="313">
        <f t="shared" si="30"/>
        <v>125.52016666666623</v>
      </c>
      <c r="W285" s="245">
        <v>8031</v>
      </c>
      <c r="X285" s="312"/>
      <c r="Y285" s="313"/>
      <c r="Z285" s="114">
        <f t="shared" si="28"/>
        <v>118</v>
      </c>
    </row>
    <row r="286" spans="1:26" s="245" customFormat="1" x14ac:dyDescent="0.25">
      <c r="A286" s="97" t="s">
        <v>1487</v>
      </c>
      <c r="B286" s="97" t="s">
        <v>1488</v>
      </c>
      <c r="C286" s="97"/>
      <c r="D286" s="97">
        <v>300</v>
      </c>
      <c r="E286" s="97"/>
      <c r="F286" s="97" t="s">
        <v>1006</v>
      </c>
      <c r="G286" s="132" t="str">
        <f t="shared" ref="G286:G330" si="33">CONCATENATE(H286,"/",I286,"/",J286,)</f>
        <v>10/3/2006</v>
      </c>
      <c r="H286" s="133">
        <v>10</v>
      </c>
      <c r="I286" s="133">
        <v>3</v>
      </c>
      <c r="J286" s="134">
        <v>2006</v>
      </c>
      <c r="K286" s="97" t="s">
        <v>56</v>
      </c>
      <c r="L286" s="97">
        <v>7898</v>
      </c>
      <c r="M286" s="97" t="s">
        <v>796</v>
      </c>
      <c r="N286" s="311">
        <v>5862.65</v>
      </c>
      <c r="O286" s="311"/>
      <c r="Q286" s="245">
        <v>10</v>
      </c>
      <c r="R286" s="30">
        <f t="shared" ref="R286:R330" si="34">(((N286)-1)/10)/12</f>
        <v>48.84708333333333</v>
      </c>
      <c r="S286" s="5">
        <v>5715.1087499999994</v>
      </c>
      <c r="T286" s="313">
        <f t="shared" si="32"/>
        <v>5763.9558333333334</v>
      </c>
      <c r="U286" s="15">
        <f t="shared" si="29"/>
        <v>48.847083333334012</v>
      </c>
      <c r="V286" s="313">
        <f t="shared" si="30"/>
        <v>98.694166666666206</v>
      </c>
      <c r="W286" s="245">
        <v>8017</v>
      </c>
      <c r="X286" s="312"/>
      <c r="Y286" s="313"/>
      <c r="Z286" s="114">
        <f t="shared" si="28"/>
        <v>118</v>
      </c>
    </row>
    <row r="287" spans="1:26" s="245" customFormat="1" x14ac:dyDescent="0.25">
      <c r="A287" s="97" t="s">
        <v>1489</v>
      </c>
      <c r="B287" s="97" t="s">
        <v>1490</v>
      </c>
      <c r="C287" s="97"/>
      <c r="D287" s="97"/>
      <c r="E287" s="97"/>
      <c r="F287" s="97" t="s">
        <v>865</v>
      </c>
      <c r="G287" s="132" t="str">
        <f t="shared" si="33"/>
        <v>28/9/2006</v>
      </c>
      <c r="H287" s="133">
        <v>28</v>
      </c>
      <c r="I287" s="133">
        <v>9</v>
      </c>
      <c r="J287" s="134">
        <v>2006</v>
      </c>
      <c r="K287" s="97" t="s">
        <v>1491</v>
      </c>
      <c r="L287" s="97">
        <v>1643</v>
      </c>
      <c r="M287" s="97" t="s">
        <v>796</v>
      </c>
      <c r="N287" s="311">
        <v>47472</v>
      </c>
      <c r="O287" s="311" t="s">
        <v>1492</v>
      </c>
      <c r="Q287" s="245">
        <v>10</v>
      </c>
      <c r="R287" s="30">
        <f t="shared" si="34"/>
        <v>395.5916666666667</v>
      </c>
      <c r="S287" s="5">
        <v>43910.675000000003</v>
      </c>
      <c r="T287" s="313">
        <f t="shared" si="32"/>
        <v>44306.26666666667</v>
      </c>
      <c r="U287" s="15">
        <f t="shared" si="29"/>
        <v>395.59166666666715</v>
      </c>
      <c r="V287" s="313">
        <f t="shared" si="30"/>
        <v>3165.7333333333299</v>
      </c>
      <c r="W287" s="245">
        <v>8744</v>
      </c>
      <c r="X287" s="312"/>
      <c r="Y287" s="313"/>
      <c r="Z287" s="114">
        <f t="shared" si="28"/>
        <v>112</v>
      </c>
    </row>
    <row r="288" spans="1:26" s="245" customFormat="1" x14ac:dyDescent="0.25">
      <c r="A288" s="97" t="s">
        <v>1493</v>
      </c>
      <c r="B288" s="97" t="s">
        <v>1494</v>
      </c>
      <c r="C288" s="97"/>
      <c r="D288" s="97"/>
      <c r="E288" s="97"/>
      <c r="F288" s="97" t="s">
        <v>865</v>
      </c>
      <c r="G288" s="132" t="str">
        <f t="shared" si="33"/>
        <v>20/12/2006</v>
      </c>
      <c r="H288" s="133">
        <v>20</v>
      </c>
      <c r="I288" s="133">
        <v>12</v>
      </c>
      <c r="J288" s="134">
        <v>2006</v>
      </c>
      <c r="K288" s="97" t="s">
        <v>931</v>
      </c>
      <c r="L288" s="97">
        <v>1721</v>
      </c>
      <c r="M288" s="97" t="s">
        <v>796</v>
      </c>
      <c r="N288" s="311">
        <v>4649.46</v>
      </c>
      <c r="O288" s="311"/>
      <c r="Q288" s="245">
        <v>10</v>
      </c>
      <c r="R288" s="30">
        <f t="shared" si="34"/>
        <v>38.737166666666667</v>
      </c>
      <c r="S288" s="5">
        <v>4183.6139999999996</v>
      </c>
      <c r="T288" s="313">
        <f t="shared" si="32"/>
        <v>4222.3511666666664</v>
      </c>
      <c r="U288" s="15">
        <f t="shared" si="29"/>
        <v>38.737166666666781</v>
      </c>
      <c r="V288" s="313">
        <f t="shared" si="30"/>
        <v>427.10883333333368</v>
      </c>
      <c r="W288" s="245">
        <v>9059</v>
      </c>
      <c r="X288" s="312"/>
      <c r="Y288" s="313"/>
      <c r="Z288" s="114">
        <f t="shared" si="28"/>
        <v>109</v>
      </c>
    </row>
    <row r="289" spans="1:26" s="245" customFormat="1" x14ac:dyDescent="0.25">
      <c r="A289" s="97" t="s">
        <v>1495</v>
      </c>
      <c r="B289" s="97" t="s">
        <v>1496</v>
      </c>
      <c r="C289" s="97"/>
      <c r="D289" s="97"/>
      <c r="E289" s="97"/>
      <c r="F289" s="97" t="s">
        <v>821</v>
      </c>
      <c r="G289" s="132" t="str">
        <f t="shared" si="33"/>
        <v>5/12/2006</v>
      </c>
      <c r="H289" s="133">
        <v>5</v>
      </c>
      <c r="I289" s="133">
        <v>12</v>
      </c>
      <c r="J289" s="134">
        <v>2006</v>
      </c>
      <c r="K289" s="97" t="s">
        <v>56</v>
      </c>
      <c r="L289" s="97">
        <v>10007</v>
      </c>
      <c r="M289" s="97" t="s">
        <v>796</v>
      </c>
      <c r="N289" s="311">
        <v>7969.2</v>
      </c>
      <c r="O289" s="311" t="s">
        <v>1497</v>
      </c>
      <c r="Q289" s="245">
        <v>10</v>
      </c>
      <c r="R289" s="30">
        <f t="shared" si="34"/>
        <v>66.401666666666657</v>
      </c>
      <c r="S289" s="5">
        <v>7171.3799999999992</v>
      </c>
      <c r="T289" s="313">
        <f t="shared" si="32"/>
        <v>7237.7816666666658</v>
      </c>
      <c r="U289" s="15">
        <f t="shared" si="29"/>
        <v>66.401666666666642</v>
      </c>
      <c r="V289" s="313">
        <f t="shared" si="30"/>
        <v>731.41833333333398</v>
      </c>
      <c r="W289" s="245">
        <v>8995</v>
      </c>
      <c r="X289" s="312"/>
      <c r="Y289" s="313"/>
      <c r="Z289" s="114">
        <f t="shared" si="28"/>
        <v>109</v>
      </c>
    </row>
    <row r="290" spans="1:26" s="245" customFormat="1" x14ac:dyDescent="0.25">
      <c r="A290" s="97" t="s">
        <v>1498</v>
      </c>
      <c r="B290" s="97" t="s">
        <v>1499</v>
      </c>
      <c r="C290" s="97"/>
      <c r="D290" s="97"/>
      <c r="E290" s="97"/>
      <c r="F290" s="97" t="s">
        <v>1500</v>
      </c>
      <c r="G290" s="132" t="str">
        <f t="shared" si="33"/>
        <v>15/11/2006</v>
      </c>
      <c r="H290" s="133">
        <v>15</v>
      </c>
      <c r="I290" s="133">
        <v>11</v>
      </c>
      <c r="J290" s="134">
        <v>2006</v>
      </c>
      <c r="K290" s="97" t="s">
        <v>1491</v>
      </c>
      <c r="L290" s="97">
        <v>1681</v>
      </c>
      <c r="M290" s="97" t="s">
        <v>796</v>
      </c>
      <c r="N290" s="311">
        <v>3967.2</v>
      </c>
      <c r="O290" s="311"/>
      <c r="Q290" s="245">
        <v>10</v>
      </c>
      <c r="R290" s="30">
        <f t="shared" si="34"/>
        <v>33.051666666666669</v>
      </c>
      <c r="S290" s="5">
        <v>3602.6316666666671</v>
      </c>
      <c r="T290" s="313">
        <f t="shared" si="32"/>
        <v>3635.6833333333338</v>
      </c>
      <c r="U290" s="15">
        <f t="shared" si="29"/>
        <v>33.051666666666733</v>
      </c>
      <c r="V290" s="313">
        <f t="shared" si="30"/>
        <v>331.51666666666597</v>
      </c>
      <c r="X290" s="312"/>
      <c r="Y290" s="313"/>
      <c r="Z290" s="114">
        <f t="shared" si="28"/>
        <v>110</v>
      </c>
    </row>
    <row r="291" spans="1:26" s="245" customFormat="1" x14ac:dyDescent="0.25">
      <c r="A291" s="97" t="s">
        <v>1501</v>
      </c>
      <c r="B291" s="97" t="s">
        <v>1502</v>
      </c>
      <c r="C291" s="97"/>
      <c r="D291" s="97"/>
      <c r="E291" s="97"/>
      <c r="F291" s="97" t="s">
        <v>1503</v>
      </c>
      <c r="G291" s="132" t="str">
        <f t="shared" si="33"/>
        <v>9/5/2006</v>
      </c>
      <c r="H291" s="133">
        <v>9</v>
      </c>
      <c r="I291" s="133">
        <v>5</v>
      </c>
      <c r="J291" s="134">
        <v>2006</v>
      </c>
      <c r="K291" s="97" t="s">
        <v>1491</v>
      </c>
      <c r="L291" s="97">
        <v>1591</v>
      </c>
      <c r="M291" s="97" t="s">
        <v>796</v>
      </c>
      <c r="N291" s="311">
        <v>1125.2</v>
      </c>
      <c r="O291" s="311" t="s">
        <v>1504</v>
      </c>
      <c r="Q291" s="245">
        <v>10</v>
      </c>
      <c r="R291" s="30">
        <f t="shared" si="34"/>
        <v>9.3683333333333341</v>
      </c>
      <c r="S291" s="5">
        <v>1077.3583333333333</v>
      </c>
      <c r="T291" s="313">
        <f t="shared" si="32"/>
        <v>1086.7266666666667</v>
      </c>
      <c r="U291" s="15">
        <f t="shared" si="29"/>
        <v>9.3683333333333394</v>
      </c>
      <c r="V291" s="313">
        <f t="shared" si="30"/>
        <v>38.473333333333358</v>
      </c>
      <c r="W291" s="245">
        <v>8260</v>
      </c>
      <c r="X291" s="312"/>
      <c r="Y291" s="313"/>
      <c r="Z291" s="114">
        <f t="shared" si="28"/>
        <v>116</v>
      </c>
    </row>
    <row r="292" spans="1:26" s="245" customFormat="1" x14ac:dyDescent="0.25">
      <c r="A292" s="97" t="s">
        <v>1505</v>
      </c>
      <c r="B292" s="97" t="s">
        <v>1506</v>
      </c>
      <c r="C292" s="97"/>
      <c r="D292" s="97" t="s">
        <v>1507</v>
      </c>
      <c r="E292" s="97"/>
      <c r="F292" s="97" t="s">
        <v>1500</v>
      </c>
      <c r="G292" s="132" t="str">
        <f t="shared" si="33"/>
        <v>15/11/2006</v>
      </c>
      <c r="H292" s="133">
        <v>15</v>
      </c>
      <c r="I292" s="133">
        <v>11</v>
      </c>
      <c r="J292" s="134">
        <v>2006</v>
      </c>
      <c r="K292" s="97" t="s">
        <v>1491</v>
      </c>
      <c r="L292" s="97">
        <v>1681</v>
      </c>
      <c r="M292" s="97" t="s">
        <v>796</v>
      </c>
      <c r="N292" s="311">
        <v>5950.8</v>
      </c>
      <c r="O292" s="311"/>
      <c r="Q292" s="245">
        <v>10</v>
      </c>
      <c r="R292" s="30">
        <f t="shared" si="34"/>
        <v>49.581666666666671</v>
      </c>
      <c r="S292" s="5">
        <v>5404.4016666666666</v>
      </c>
      <c r="T292" s="313">
        <f t="shared" si="32"/>
        <v>5453.9833333333336</v>
      </c>
      <c r="U292" s="15">
        <f t="shared" si="29"/>
        <v>49.581666666666933</v>
      </c>
      <c r="V292" s="313">
        <f t="shared" si="30"/>
        <v>496.81666666666661</v>
      </c>
      <c r="X292" s="312"/>
      <c r="Y292" s="313"/>
      <c r="Z292" s="114">
        <f t="shared" si="28"/>
        <v>110</v>
      </c>
    </row>
    <row r="293" spans="1:26" s="245" customFormat="1" x14ac:dyDescent="0.25">
      <c r="A293" s="97" t="s">
        <v>1508</v>
      </c>
      <c r="B293" s="97" t="s">
        <v>1499</v>
      </c>
      <c r="C293" s="97"/>
      <c r="D293" s="97"/>
      <c r="E293" s="97"/>
      <c r="F293" s="97" t="s">
        <v>1500</v>
      </c>
      <c r="G293" s="132" t="str">
        <f t="shared" si="33"/>
        <v>15/11/2006</v>
      </c>
      <c r="H293" s="133">
        <v>15</v>
      </c>
      <c r="I293" s="133">
        <v>11</v>
      </c>
      <c r="J293" s="134">
        <v>2006</v>
      </c>
      <c r="K293" s="97" t="s">
        <v>1491</v>
      </c>
      <c r="L293" s="97">
        <v>1681</v>
      </c>
      <c r="M293" s="97" t="s">
        <v>796</v>
      </c>
      <c r="N293" s="311">
        <v>3967.2</v>
      </c>
      <c r="O293" s="311"/>
      <c r="Q293" s="245">
        <v>10</v>
      </c>
      <c r="R293" s="30">
        <f t="shared" si="34"/>
        <v>33.051666666666669</v>
      </c>
      <c r="S293" s="5">
        <v>3602.6316666666671</v>
      </c>
      <c r="T293" s="313">
        <f t="shared" si="32"/>
        <v>3635.6833333333338</v>
      </c>
      <c r="U293" s="15">
        <f t="shared" si="29"/>
        <v>33.051666666666733</v>
      </c>
      <c r="V293" s="313">
        <f t="shared" si="30"/>
        <v>331.51666666666597</v>
      </c>
      <c r="X293" s="312"/>
      <c r="Y293" s="313"/>
      <c r="Z293" s="114">
        <f t="shared" si="28"/>
        <v>110</v>
      </c>
    </row>
    <row r="294" spans="1:26" s="245" customFormat="1" x14ac:dyDescent="0.25">
      <c r="A294" s="97" t="s">
        <v>1509</v>
      </c>
      <c r="B294" s="97" t="s">
        <v>1510</v>
      </c>
      <c r="C294" s="97"/>
      <c r="D294" s="97"/>
      <c r="E294" s="97"/>
      <c r="F294" s="97" t="s">
        <v>1500</v>
      </c>
      <c r="G294" s="132" t="str">
        <f t="shared" si="33"/>
        <v>20/11/2006</v>
      </c>
      <c r="H294" s="133">
        <v>20</v>
      </c>
      <c r="I294" s="133">
        <v>11</v>
      </c>
      <c r="J294" s="134">
        <v>2006</v>
      </c>
      <c r="K294" s="97" t="s">
        <v>1491</v>
      </c>
      <c r="L294" s="97">
        <v>1684</v>
      </c>
      <c r="M294" s="97" t="s">
        <v>796</v>
      </c>
      <c r="N294" s="311">
        <v>2610</v>
      </c>
      <c r="O294" s="311"/>
      <c r="Q294" s="245">
        <v>10</v>
      </c>
      <c r="R294" s="30">
        <f t="shared" si="34"/>
        <v>21.741666666666664</v>
      </c>
      <c r="S294" s="5">
        <v>2369.8416666666662</v>
      </c>
      <c r="T294" s="313">
        <f t="shared" si="32"/>
        <v>2391.583333333333</v>
      </c>
      <c r="U294" s="15">
        <f t="shared" si="29"/>
        <v>21.741666666666788</v>
      </c>
      <c r="V294" s="313">
        <f t="shared" si="30"/>
        <v>218.41666666666697</v>
      </c>
      <c r="X294" s="312"/>
      <c r="Y294" s="313"/>
      <c r="Z294" s="114">
        <f t="shared" si="28"/>
        <v>110</v>
      </c>
    </row>
    <row r="295" spans="1:26" s="245" customFormat="1" x14ac:dyDescent="0.25">
      <c r="A295" s="97" t="s">
        <v>1509</v>
      </c>
      <c r="B295" s="97" t="s">
        <v>1511</v>
      </c>
      <c r="C295" s="97" t="s">
        <v>1512</v>
      </c>
      <c r="D295" s="97" t="s">
        <v>1513</v>
      </c>
      <c r="E295" s="202"/>
      <c r="F295" s="202" t="s">
        <v>1514</v>
      </c>
      <c r="G295" s="132" t="str">
        <f t="shared" si="33"/>
        <v>23/3/2006</v>
      </c>
      <c r="H295" s="203">
        <v>23</v>
      </c>
      <c r="I295" s="203">
        <v>3</v>
      </c>
      <c r="J295" s="204">
        <v>2006</v>
      </c>
      <c r="K295" s="202" t="s">
        <v>1491</v>
      </c>
      <c r="L295" s="204">
        <v>1574</v>
      </c>
      <c r="M295" s="97" t="s">
        <v>796</v>
      </c>
      <c r="N295" s="311">
        <v>6111.6</v>
      </c>
      <c r="O295" s="311"/>
      <c r="Q295" s="245">
        <v>10</v>
      </c>
      <c r="R295" s="30">
        <f t="shared" si="34"/>
        <v>50.921666666666674</v>
      </c>
      <c r="S295" s="5">
        <v>5957.8350000000009</v>
      </c>
      <c r="T295" s="313">
        <f t="shared" si="32"/>
        <v>6008.7566666666671</v>
      </c>
      <c r="U295" s="15">
        <f t="shared" si="29"/>
        <v>50.921666666666169</v>
      </c>
      <c r="V295" s="313">
        <f t="shared" si="30"/>
        <v>102.84333333333325</v>
      </c>
      <c r="W295" s="245">
        <v>8065</v>
      </c>
      <c r="X295" s="312"/>
      <c r="Y295" s="313"/>
      <c r="Z295" s="114">
        <f t="shared" si="28"/>
        <v>118</v>
      </c>
    </row>
    <row r="296" spans="1:26" s="245" customFormat="1" x14ac:dyDescent="0.25">
      <c r="A296" s="97" t="s">
        <v>1515</v>
      </c>
      <c r="B296" s="97" t="s">
        <v>1510</v>
      </c>
      <c r="C296" s="97"/>
      <c r="D296" s="97"/>
      <c r="E296" s="97"/>
      <c r="F296" s="97" t="s">
        <v>1500</v>
      </c>
      <c r="G296" s="132" t="str">
        <f t="shared" si="33"/>
        <v>20/11/2006</v>
      </c>
      <c r="H296" s="133">
        <v>20</v>
      </c>
      <c r="I296" s="133">
        <v>11</v>
      </c>
      <c r="J296" s="134">
        <v>2006</v>
      </c>
      <c r="K296" s="97" t="s">
        <v>1491</v>
      </c>
      <c r="L296" s="97">
        <v>1684</v>
      </c>
      <c r="M296" s="97" t="s">
        <v>796</v>
      </c>
      <c r="N296" s="311">
        <v>2610</v>
      </c>
      <c r="O296" s="311"/>
      <c r="Q296" s="245">
        <v>10</v>
      </c>
      <c r="R296" s="30">
        <f t="shared" si="34"/>
        <v>21.741666666666664</v>
      </c>
      <c r="S296" s="5">
        <v>2369.8416666666662</v>
      </c>
      <c r="T296" s="313">
        <f t="shared" si="32"/>
        <v>2391.583333333333</v>
      </c>
      <c r="U296" s="15">
        <f t="shared" si="29"/>
        <v>21.741666666666788</v>
      </c>
      <c r="V296" s="313">
        <f t="shared" si="30"/>
        <v>218.41666666666697</v>
      </c>
      <c r="X296" s="312"/>
      <c r="Y296" s="313"/>
      <c r="Z296" s="114">
        <f t="shared" si="28"/>
        <v>110</v>
      </c>
    </row>
    <row r="297" spans="1:26" s="318" customFormat="1" x14ac:dyDescent="0.25">
      <c r="A297" s="97" t="s">
        <v>1516</v>
      </c>
      <c r="B297" s="97" t="s">
        <v>1517</v>
      </c>
      <c r="C297" s="97"/>
      <c r="D297" s="97"/>
      <c r="E297" s="97"/>
      <c r="F297" s="97" t="s">
        <v>1518</v>
      </c>
      <c r="G297" s="132" t="str">
        <f t="shared" si="33"/>
        <v>3/2/2006</v>
      </c>
      <c r="H297" s="133">
        <v>3</v>
      </c>
      <c r="I297" s="133">
        <v>2</v>
      </c>
      <c r="J297" s="134">
        <v>2006</v>
      </c>
      <c r="K297" s="97" t="s">
        <v>56</v>
      </c>
      <c r="L297" s="97">
        <v>604</v>
      </c>
      <c r="M297" s="97" t="s">
        <v>796</v>
      </c>
      <c r="N297" s="311">
        <v>13500</v>
      </c>
      <c r="O297" s="311"/>
      <c r="P297" s="245"/>
      <c r="Q297" s="245">
        <v>10</v>
      </c>
      <c r="R297" s="30">
        <f t="shared" si="34"/>
        <v>112.49166666666667</v>
      </c>
      <c r="S297" s="5">
        <v>13274.016666666668</v>
      </c>
      <c r="T297" s="313">
        <f t="shared" si="32"/>
        <v>13386.508333333335</v>
      </c>
      <c r="U297" s="15">
        <f t="shared" si="29"/>
        <v>112.49166666666679</v>
      </c>
      <c r="V297" s="313">
        <f t="shared" ref="V297:V330" si="35">N297-T297</f>
        <v>113.49166666666497</v>
      </c>
      <c r="W297" s="245">
        <v>7865</v>
      </c>
      <c r="X297" s="312"/>
      <c r="Y297" s="313"/>
      <c r="Z297" s="114">
        <f t="shared" si="28"/>
        <v>119</v>
      </c>
    </row>
    <row r="298" spans="1:26" s="245" customFormat="1" x14ac:dyDescent="0.25">
      <c r="A298" s="97" t="s">
        <v>1519</v>
      </c>
      <c r="B298" s="97" t="s">
        <v>1520</v>
      </c>
      <c r="C298" s="97"/>
      <c r="D298" s="97"/>
      <c r="E298" s="97"/>
      <c r="F298" s="97" t="s">
        <v>1518</v>
      </c>
      <c r="G298" s="132" t="str">
        <f t="shared" si="33"/>
        <v>3/2/2006</v>
      </c>
      <c r="H298" s="133">
        <v>3</v>
      </c>
      <c r="I298" s="133">
        <v>2</v>
      </c>
      <c r="J298" s="134">
        <v>2006</v>
      </c>
      <c r="K298" s="97" t="s">
        <v>56</v>
      </c>
      <c r="L298" s="97">
        <v>604</v>
      </c>
      <c r="M298" s="97" t="s">
        <v>796</v>
      </c>
      <c r="N298" s="311">
        <v>12240</v>
      </c>
      <c r="O298" s="311"/>
      <c r="Q298" s="245">
        <v>10</v>
      </c>
      <c r="R298" s="30">
        <f t="shared" si="34"/>
        <v>101.99166666666667</v>
      </c>
      <c r="S298" s="5">
        <v>12035.016666666668</v>
      </c>
      <c r="T298" s="313">
        <f t="shared" si="32"/>
        <v>12137.008333333335</v>
      </c>
      <c r="U298" s="15">
        <f t="shared" si="29"/>
        <v>101.99166666666679</v>
      </c>
      <c r="V298" s="313">
        <f t="shared" si="35"/>
        <v>102.99166666666497</v>
      </c>
      <c r="W298" s="245">
        <v>7856</v>
      </c>
      <c r="X298" s="312"/>
      <c r="Y298" s="313"/>
      <c r="Z298" s="114">
        <f t="shared" si="28"/>
        <v>119</v>
      </c>
    </row>
    <row r="299" spans="1:26" s="245" customFormat="1" x14ac:dyDescent="0.25">
      <c r="A299" s="97" t="s">
        <v>1521</v>
      </c>
      <c r="B299" s="97" t="s">
        <v>1522</v>
      </c>
      <c r="C299" s="97"/>
      <c r="D299" s="97"/>
      <c r="E299" s="97"/>
      <c r="F299" s="97" t="s">
        <v>1518</v>
      </c>
      <c r="G299" s="132" t="str">
        <f t="shared" si="33"/>
        <v>3/2/2006</v>
      </c>
      <c r="H299" s="133">
        <v>3</v>
      </c>
      <c r="I299" s="133">
        <v>2</v>
      </c>
      <c r="J299" s="134">
        <v>2006</v>
      </c>
      <c r="K299" s="97" t="s">
        <v>56</v>
      </c>
      <c r="L299" s="97">
        <v>604</v>
      </c>
      <c r="M299" s="97" t="s">
        <v>796</v>
      </c>
      <c r="N299" s="311">
        <v>9176</v>
      </c>
      <c r="O299" s="311"/>
      <c r="Q299" s="245">
        <v>10</v>
      </c>
      <c r="R299" s="30">
        <f t="shared" si="34"/>
        <v>76.458333333333329</v>
      </c>
      <c r="S299" s="5">
        <v>9022.0833333333321</v>
      </c>
      <c r="T299" s="313">
        <f t="shared" si="32"/>
        <v>9098.5416666666661</v>
      </c>
      <c r="U299" s="15">
        <f t="shared" si="29"/>
        <v>76.45833333333394</v>
      </c>
      <c r="V299" s="313">
        <f t="shared" si="35"/>
        <v>77.45833333333394</v>
      </c>
      <c r="W299" s="245">
        <v>7865</v>
      </c>
      <c r="X299" s="312"/>
      <c r="Y299" s="313"/>
      <c r="Z299" s="114">
        <f t="shared" si="28"/>
        <v>119</v>
      </c>
    </row>
    <row r="300" spans="1:26" s="245" customFormat="1" x14ac:dyDescent="0.25">
      <c r="A300" s="208" t="s">
        <v>1523</v>
      </c>
      <c r="B300" s="208" t="s">
        <v>1524</v>
      </c>
      <c r="C300" s="208"/>
      <c r="D300" s="208" t="s">
        <v>1525</v>
      </c>
      <c r="E300" s="208"/>
      <c r="F300" s="208" t="s">
        <v>1526</v>
      </c>
      <c r="G300" s="132" t="str">
        <f t="shared" si="33"/>
        <v>10/10/2003</v>
      </c>
      <c r="H300" s="209">
        <v>10</v>
      </c>
      <c r="I300" s="209">
        <v>10</v>
      </c>
      <c r="J300" s="210">
        <v>2003</v>
      </c>
      <c r="K300" s="208" t="s">
        <v>56</v>
      </c>
      <c r="L300" s="208" t="s">
        <v>1527</v>
      </c>
      <c r="M300" s="208" t="s">
        <v>796</v>
      </c>
      <c r="N300" s="211">
        <v>3705</v>
      </c>
      <c r="O300" s="211" t="s">
        <v>1528</v>
      </c>
      <c r="Q300" s="245">
        <v>10</v>
      </c>
      <c r="R300" s="30">
        <v>0</v>
      </c>
      <c r="S300" s="5">
        <v>3703.9999999999995</v>
      </c>
      <c r="T300" s="5">
        <v>3703.9999999999995</v>
      </c>
      <c r="U300" s="15">
        <f t="shared" si="29"/>
        <v>0</v>
      </c>
      <c r="V300" s="313">
        <f t="shared" si="35"/>
        <v>1.0000000000004547</v>
      </c>
      <c r="W300" s="245">
        <v>2165</v>
      </c>
      <c r="X300" s="312"/>
      <c r="Y300" s="313"/>
      <c r="Z300" s="114">
        <f t="shared" si="28"/>
        <v>120</v>
      </c>
    </row>
    <row r="301" spans="1:26" s="318" customFormat="1" x14ac:dyDescent="0.25">
      <c r="A301" s="97" t="s">
        <v>1529</v>
      </c>
      <c r="B301" s="97" t="s">
        <v>1530</v>
      </c>
      <c r="C301" s="97"/>
      <c r="D301" s="97" t="str">
        <f>+D300</f>
        <v>Descansa en RTVD</v>
      </c>
      <c r="E301" s="97"/>
      <c r="F301" s="97" t="s">
        <v>1526</v>
      </c>
      <c r="G301" s="132" t="str">
        <f t="shared" si="33"/>
        <v>10/10/2003</v>
      </c>
      <c r="H301" s="133">
        <v>10</v>
      </c>
      <c r="I301" s="133">
        <v>10</v>
      </c>
      <c r="J301" s="134">
        <v>2003</v>
      </c>
      <c r="K301" s="97" t="s">
        <v>56</v>
      </c>
      <c r="L301" s="97" t="s">
        <v>1527</v>
      </c>
      <c r="M301" s="97" t="s">
        <v>796</v>
      </c>
      <c r="N301" s="311">
        <v>20544</v>
      </c>
      <c r="O301" s="311"/>
      <c r="P301" s="245"/>
      <c r="Q301" s="245">
        <v>10</v>
      </c>
      <c r="R301" s="30">
        <v>0</v>
      </c>
      <c r="S301" s="5">
        <v>20543.000000000004</v>
      </c>
      <c r="T301" s="5">
        <v>20543.000000000004</v>
      </c>
      <c r="U301" s="15">
        <f t="shared" si="29"/>
        <v>0</v>
      </c>
      <c r="V301" s="313">
        <f t="shared" si="35"/>
        <v>0.99999999999636202</v>
      </c>
      <c r="W301" s="245">
        <v>2165</v>
      </c>
      <c r="X301" s="312"/>
      <c r="Y301" s="313"/>
      <c r="Z301" s="114">
        <f t="shared" si="28"/>
        <v>120</v>
      </c>
    </row>
    <row r="302" spans="1:26" s="245" customFormat="1" x14ac:dyDescent="0.25">
      <c r="A302" s="97" t="s">
        <v>1531</v>
      </c>
      <c r="B302" s="97" t="s">
        <v>1532</v>
      </c>
      <c r="C302" s="97"/>
      <c r="D302" s="97" t="str">
        <f>+D301</f>
        <v>Descansa en RTVD</v>
      </c>
      <c r="E302" s="97"/>
      <c r="F302" s="97" t="s">
        <v>1526</v>
      </c>
      <c r="G302" s="132" t="str">
        <f t="shared" si="33"/>
        <v>29/10/2003</v>
      </c>
      <c r="H302" s="133">
        <v>29</v>
      </c>
      <c r="I302" s="133">
        <v>10</v>
      </c>
      <c r="J302" s="134">
        <v>2003</v>
      </c>
      <c r="K302" s="97" t="s">
        <v>931</v>
      </c>
      <c r="L302" s="97">
        <v>626</v>
      </c>
      <c r="M302" s="97" t="s">
        <v>796</v>
      </c>
      <c r="N302" s="311">
        <v>17237</v>
      </c>
      <c r="O302" s="311"/>
      <c r="Q302" s="245">
        <v>10</v>
      </c>
      <c r="R302" s="30">
        <v>0</v>
      </c>
      <c r="S302" s="5">
        <v>17236</v>
      </c>
      <c r="T302" s="5">
        <v>17236</v>
      </c>
      <c r="U302" s="15">
        <f t="shared" si="29"/>
        <v>0</v>
      </c>
      <c r="V302" s="313">
        <f t="shared" si="35"/>
        <v>1</v>
      </c>
      <c r="W302" s="245">
        <v>2350</v>
      </c>
      <c r="X302" s="312"/>
      <c r="Y302" s="313"/>
      <c r="Z302" s="114">
        <f t="shared" si="28"/>
        <v>120</v>
      </c>
    </row>
    <row r="303" spans="1:26" s="245" customFormat="1" x14ac:dyDescent="0.25">
      <c r="A303" s="97" t="s">
        <v>1533</v>
      </c>
      <c r="B303" s="97" t="s">
        <v>1534</v>
      </c>
      <c r="C303" s="97"/>
      <c r="D303" s="97"/>
      <c r="E303" s="97"/>
      <c r="F303" s="97" t="s">
        <v>847</v>
      </c>
      <c r="G303" s="132" t="str">
        <f t="shared" si="33"/>
        <v>14/1/2005</v>
      </c>
      <c r="H303" s="133">
        <v>14</v>
      </c>
      <c r="I303" s="133">
        <v>1</v>
      </c>
      <c r="J303" s="134">
        <v>2005</v>
      </c>
      <c r="K303" s="97" t="s">
        <v>56</v>
      </c>
      <c r="L303" s="97">
        <v>2594</v>
      </c>
      <c r="M303" s="97" t="s">
        <v>796</v>
      </c>
      <c r="N303" s="311">
        <v>4083.2</v>
      </c>
      <c r="O303" s="311"/>
      <c r="Q303" s="245">
        <v>10</v>
      </c>
      <c r="R303" s="30">
        <v>0</v>
      </c>
      <c r="S303" s="5">
        <v>4082.2</v>
      </c>
      <c r="T303" s="313">
        <v>4082.2</v>
      </c>
      <c r="U303" s="15">
        <v>0</v>
      </c>
      <c r="V303" s="313">
        <f t="shared" si="35"/>
        <v>1</v>
      </c>
      <c r="W303" s="245">
        <v>5603</v>
      </c>
      <c r="X303" s="312"/>
      <c r="Y303" s="313"/>
      <c r="Z303" s="114">
        <f t="shared" si="28"/>
        <v>120</v>
      </c>
    </row>
    <row r="304" spans="1:26" s="245" customFormat="1" x14ac:dyDescent="0.25">
      <c r="A304" s="97" t="s">
        <v>1535</v>
      </c>
      <c r="B304" s="97" t="s">
        <v>1536</v>
      </c>
      <c r="C304" s="97" t="s">
        <v>1537</v>
      </c>
      <c r="D304" s="97"/>
      <c r="E304" s="97" t="s">
        <v>1538</v>
      </c>
      <c r="F304" s="97" t="s">
        <v>1232</v>
      </c>
      <c r="G304" s="132" t="str">
        <f t="shared" si="33"/>
        <v>11/2/2004</v>
      </c>
      <c r="H304" s="133">
        <v>11</v>
      </c>
      <c r="I304" s="133">
        <v>2</v>
      </c>
      <c r="J304" s="134">
        <v>2004</v>
      </c>
      <c r="K304" s="97" t="s">
        <v>56</v>
      </c>
      <c r="L304" s="97">
        <v>30591</v>
      </c>
      <c r="M304" s="97" t="s">
        <v>796</v>
      </c>
      <c r="N304" s="311">
        <v>2353.1799999999998</v>
      </c>
      <c r="O304" s="311"/>
      <c r="Q304" s="245">
        <v>10</v>
      </c>
      <c r="R304" s="30">
        <v>0</v>
      </c>
      <c r="S304" s="5">
        <v>2352.1799999999998</v>
      </c>
      <c r="T304" s="5">
        <v>2352.1799999999998</v>
      </c>
      <c r="U304" s="15">
        <f t="shared" si="29"/>
        <v>0</v>
      </c>
      <c r="V304" s="313">
        <f t="shared" si="35"/>
        <v>1</v>
      </c>
      <c r="W304" s="245">
        <v>3170</v>
      </c>
      <c r="X304" s="312"/>
      <c r="Y304" s="313"/>
      <c r="Z304" s="114">
        <f t="shared" si="28"/>
        <v>120</v>
      </c>
    </row>
    <row r="305" spans="1:26" s="245" customFormat="1" x14ac:dyDescent="0.25">
      <c r="A305" s="97" t="s">
        <v>1539</v>
      </c>
      <c r="B305" s="97" t="s">
        <v>1540</v>
      </c>
      <c r="C305" s="97"/>
      <c r="D305" s="97"/>
      <c r="E305" s="97"/>
      <c r="F305" s="97" t="s">
        <v>1006</v>
      </c>
      <c r="G305" s="132" t="str">
        <f t="shared" si="33"/>
        <v>2/2/2005</v>
      </c>
      <c r="H305" s="133">
        <v>2</v>
      </c>
      <c r="I305" s="133">
        <v>2</v>
      </c>
      <c r="J305" s="134">
        <v>2005</v>
      </c>
      <c r="K305" s="97" t="s">
        <v>56</v>
      </c>
      <c r="L305" s="97">
        <v>6053</v>
      </c>
      <c r="M305" s="97" t="s">
        <v>796</v>
      </c>
      <c r="N305" s="311">
        <v>492</v>
      </c>
      <c r="O305" s="311"/>
      <c r="Q305" s="245">
        <v>10</v>
      </c>
      <c r="R305" s="30">
        <v>0</v>
      </c>
      <c r="S305" s="5">
        <v>491</v>
      </c>
      <c r="T305" s="313">
        <v>491</v>
      </c>
      <c r="U305" s="15">
        <v>0</v>
      </c>
      <c r="V305" s="313">
        <f>N305-T305</f>
        <v>1</v>
      </c>
      <c r="W305" s="245">
        <v>5561</v>
      </c>
      <c r="X305" s="312"/>
      <c r="Y305" s="313"/>
      <c r="Z305" s="114">
        <f t="shared" si="28"/>
        <v>120</v>
      </c>
    </row>
    <row r="306" spans="1:26" s="245" customFormat="1" x14ac:dyDescent="0.25">
      <c r="A306" s="97" t="s">
        <v>1541</v>
      </c>
      <c r="B306" s="97" t="s">
        <v>1542</v>
      </c>
      <c r="C306" s="97"/>
      <c r="D306" s="97"/>
      <c r="E306" s="97"/>
      <c r="F306" s="97" t="s">
        <v>934</v>
      </c>
      <c r="G306" s="132" t="str">
        <f t="shared" si="33"/>
        <v>12/8/2003</v>
      </c>
      <c r="H306" s="133">
        <v>12</v>
      </c>
      <c r="I306" s="133">
        <v>8</v>
      </c>
      <c r="J306" s="134">
        <v>2003</v>
      </c>
      <c r="K306" s="97" t="s">
        <v>931</v>
      </c>
      <c r="L306" s="97">
        <v>727</v>
      </c>
      <c r="M306" s="97" t="s">
        <v>796</v>
      </c>
      <c r="N306" s="186">
        <v>25528.5</v>
      </c>
      <c r="O306" s="186"/>
      <c r="Q306" s="245">
        <v>10</v>
      </c>
      <c r="R306" s="30">
        <v>0</v>
      </c>
      <c r="S306" s="5">
        <v>25527.5</v>
      </c>
      <c r="T306" s="5">
        <v>25527.5</v>
      </c>
      <c r="U306" s="15">
        <f t="shared" si="29"/>
        <v>0</v>
      </c>
      <c r="V306" s="313">
        <f t="shared" si="35"/>
        <v>1</v>
      </c>
      <c r="W306" s="245">
        <v>2710</v>
      </c>
      <c r="X306" s="312"/>
      <c r="Y306" s="313"/>
      <c r="Z306" s="114">
        <f t="shared" si="28"/>
        <v>120</v>
      </c>
    </row>
    <row r="307" spans="1:26" s="245" customFormat="1" x14ac:dyDescent="0.25">
      <c r="A307" s="97" t="s">
        <v>1543</v>
      </c>
      <c r="B307" s="97" t="s">
        <v>1544</v>
      </c>
      <c r="C307" s="97"/>
      <c r="D307" s="97"/>
      <c r="E307" s="97"/>
      <c r="F307" s="97" t="s">
        <v>934</v>
      </c>
      <c r="G307" s="132" t="str">
        <f t="shared" si="33"/>
        <v>19/12/2003</v>
      </c>
      <c r="H307" s="133">
        <v>19</v>
      </c>
      <c r="I307" s="133">
        <v>12</v>
      </c>
      <c r="J307" s="134">
        <v>2003</v>
      </c>
      <c r="K307" s="97" t="s">
        <v>931</v>
      </c>
      <c r="L307" s="97">
        <v>768</v>
      </c>
      <c r="M307" s="97" t="s">
        <v>796</v>
      </c>
      <c r="N307" s="186">
        <v>14824.05</v>
      </c>
      <c r="O307" s="186"/>
      <c r="Q307" s="245">
        <v>10</v>
      </c>
      <c r="R307" s="30">
        <v>0</v>
      </c>
      <c r="S307" s="5">
        <v>14823.05</v>
      </c>
      <c r="T307" s="5">
        <v>14823.05</v>
      </c>
      <c r="U307" s="15">
        <f t="shared" si="29"/>
        <v>0</v>
      </c>
      <c r="V307" s="313">
        <f t="shared" si="35"/>
        <v>1</v>
      </c>
      <c r="W307" s="245">
        <v>2895</v>
      </c>
      <c r="X307" s="312"/>
      <c r="Y307" s="313"/>
      <c r="Z307" s="114">
        <f t="shared" si="28"/>
        <v>120</v>
      </c>
    </row>
    <row r="308" spans="1:26" s="245" customFormat="1" x14ac:dyDescent="0.25">
      <c r="A308" s="97" t="s">
        <v>1545</v>
      </c>
      <c r="B308" s="97" t="s">
        <v>1546</v>
      </c>
      <c r="C308" s="97"/>
      <c r="D308" s="97"/>
      <c r="E308" s="97"/>
      <c r="F308" s="97" t="s">
        <v>1006</v>
      </c>
      <c r="G308" s="132" t="str">
        <f t="shared" si="33"/>
        <v>13/2/2004</v>
      </c>
      <c r="H308" s="133">
        <v>13</v>
      </c>
      <c r="I308" s="133">
        <v>2</v>
      </c>
      <c r="J308" s="134">
        <v>2004</v>
      </c>
      <c r="K308" s="97" t="s">
        <v>56</v>
      </c>
      <c r="L308" s="97">
        <v>4921</v>
      </c>
      <c r="M308" s="97" t="s">
        <v>796</v>
      </c>
      <c r="N308" s="186">
        <v>2661.79</v>
      </c>
      <c r="O308" s="186"/>
      <c r="Q308" s="245">
        <v>10</v>
      </c>
      <c r="R308" s="30">
        <v>0</v>
      </c>
      <c r="S308" s="5">
        <v>2660.79</v>
      </c>
      <c r="T308" s="5">
        <v>2660.79</v>
      </c>
      <c r="U308" s="15">
        <f t="shared" si="29"/>
        <v>0</v>
      </c>
      <c r="V308" s="313">
        <f t="shared" si="35"/>
        <v>1</v>
      </c>
      <c r="W308" s="245">
        <v>3249</v>
      </c>
      <c r="X308" s="312"/>
      <c r="Y308" s="313"/>
      <c r="Z308" s="114">
        <f t="shared" si="28"/>
        <v>120</v>
      </c>
    </row>
    <row r="309" spans="1:26" s="342" customFormat="1" x14ac:dyDescent="0.25">
      <c r="A309" s="97" t="s">
        <v>1547</v>
      </c>
      <c r="B309" s="97" t="str">
        <f>+B308</f>
        <v>Sistema Reclinable Neumático</v>
      </c>
      <c r="C309" s="97"/>
      <c r="D309" s="97"/>
      <c r="E309" s="97"/>
      <c r="F309" s="97" t="s">
        <v>1006</v>
      </c>
      <c r="G309" s="132" t="str">
        <f t="shared" si="33"/>
        <v>13/2/2004</v>
      </c>
      <c r="H309" s="133">
        <v>13</v>
      </c>
      <c r="I309" s="133">
        <v>2</v>
      </c>
      <c r="J309" s="134">
        <v>2004</v>
      </c>
      <c r="K309" s="97" t="s">
        <v>56</v>
      </c>
      <c r="L309" s="97">
        <v>4921</v>
      </c>
      <c r="M309" s="97" t="s">
        <v>796</v>
      </c>
      <c r="N309" s="186">
        <v>2661.79</v>
      </c>
      <c r="O309" s="186"/>
      <c r="P309" s="245"/>
      <c r="Q309" s="245">
        <v>10</v>
      </c>
      <c r="R309" s="30">
        <v>0</v>
      </c>
      <c r="S309" s="5">
        <v>2660.79</v>
      </c>
      <c r="T309" s="5">
        <v>2660.79</v>
      </c>
      <c r="U309" s="15">
        <f t="shared" si="29"/>
        <v>0</v>
      </c>
      <c r="V309" s="313">
        <f t="shared" si="35"/>
        <v>1</v>
      </c>
      <c r="W309" s="201">
        <v>3249</v>
      </c>
      <c r="X309" s="312"/>
      <c r="Y309" s="313"/>
      <c r="Z309" s="114">
        <f t="shared" si="28"/>
        <v>120</v>
      </c>
    </row>
    <row r="310" spans="1:26" s="318" customFormat="1" x14ac:dyDescent="0.25">
      <c r="A310" s="97" t="s">
        <v>1548</v>
      </c>
      <c r="B310" s="97" t="s">
        <v>1490</v>
      </c>
      <c r="C310" s="97"/>
      <c r="D310" s="97"/>
      <c r="E310" s="97"/>
      <c r="F310" s="97" t="s">
        <v>1006</v>
      </c>
      <c r="G310" s="132" t="str">
        <f t="shared" si="33"/>
        <v>6/9/2006</v>
      </c>
      <c r="H310" s="133">
        <v>6</v>
      </c>
      <c r="I310" s="133">
        <v>9</v>
      </c>
      <c r="J310" s="134">
        <v>2006</v>
      </c>
      <c r="K310" s="97" t="s">
        <v>931</v>
      </c>
      <c r="L310" s="97">
        <v>1633</v>
      </c>
      <c r="M310" s="97" t="s">
        <v>796</v>
      </c>
      <c r="N310" s="186">
        <v>50254.18</v>
      </c>
      <c r="O310" s="187" t="s">
        <v>1167</v>
      </c>
      <c r="P310" s="245"/>
      <c r="Q310" s="245">
        <v>10</v>
      </c>
      <c r="R310" s="30">
        <f t="shared" si="34"/>
        <v>418.7765</v>
      </c>
      <c r="S310" s="5">
        <v>46484.191500000001</v>
      </c>
      <c r="T310" s="313">
        <f t="shared" si="32"/>
        <v>46902.968000000001</v>
      </c>
      <c r="U310" s="15">
        <f t="shared" si="29"/>
        <v>418.77649999999994</v>
      </c>
      <c r="V310" s="313">
        <f t="shared" si="35"/>
        <v>3351.2119999999995</v>
      </c>
      <c r="W310" s="201">
        <v>8656</v>
      </c>
      <c r="X310" s="312"/>
      <c r="Y310" s="313"/>
      <c r="Z310" s="114">
        <f t="shared" si="28"/>
        <v>112</v>
      </c>
    </row>
    <row r="311" spans="1:26" s="318" customFormat="1" x14ac:dyDescent="0.25">
      <c r="A311" s="97" t="s">
        <v>1549</v>
      </c>
      <c r="B311" s="97" t="s">
        <v>1550</v>
      </c>
      <c r="C311" s="97"/>
      <c r="D311" s="97"/>
      <c r="E311" s="97"/>
      <c r="F311" s="97" t="s">
        <v>1006</v>
      </c>
      <c r="G311" s="132" t="str">
        <f t="shared" si="33"/>
        <v>25/11/2003</v>
      </c>
      <c r="H311" s="133">
        <v>25</v>
      </c>
      <c r="I311" s="133">
        <v>11</v>
      </c>
      <c r="J311" s="134">
        <v>2003</v>
      </c>
      <c r="K311" s="97" t="s">
        <v>56</v>
      </c>
      <c r="L311" s="97" t="s">
        <v>1140</v>
      </c>
      <c r="M311" s="97" t="s">
        <v>796</v>
      </c>
      <c r="N311" s="311">
        <v>3569.6</v>
      </c>
      <c r="O311" s="311"/>
      <c r="P311" s="245"/>
      <c r="Q311" s="245">
        <v>10</v>
      </c>
      <c r="R311" s="30">
        <v>0</v>
      </c>
      <c r="S311" s="5">
        <v>3568.6</v>
      </c>
      <c r="T311" s="5">
        <v>3568.6</v>
      </c>
      <c r="U311" s="15">
        <f t="shared" si="29"/>
        <v>0</v>
      </c>
      <c r="V311" s="313">
        <f t="shared" si="35"/>
        <v>1</v>
      </c>
      <c r="W311" s="245">
        <v>2702</v>
      </c>
      <c r="X311" s="312"/>
      <c r="Y311" s="313"/>
      <c r="Z311" s="114">
        <f t="shared" si="28"/>
        <v>120</v>
      </c>
    </row>
    <row r="312" spans="1:26" s="245" customFormat="1" x14ac:dyDescent="0.25">
      <c r="A312" s="97" t="s">
        <v>1551</v>
      </c>
      <c r="B312" s="97" t="s">
        <v>1552</v>
      </c>
      <c r="C312" s="97"/>
      <c r="D312" s="97"/>
      <c r="E312" s="97"/>
      <c r="F312" s="97" t="s">
        <v>934</v>
      </c>
      <c r="G312" s="132" t="str">
        <f t="shared" si="33"/>
        <v>10/1/2003</v>
      </c>
      <c r="H312" s="133">
        <v>10</v>
      </c>
      <c r="I312" s="133">
        <v>1</v>
      </c>
      <c r="J312" s="134">
        <v>2003</v>
      </c>
      <c r="K312" s="97" t="s">
        <v>931</v>
      </c>
      <c r="L312" s="97">
        <v>694</v>
      </c>
      <c r="M312" s="97" t="s">
        <v>796</v>
      </c>
      <c r="N312" s="311">
        <v>13833</v>
      </c>
      <c r="O312" s="311"/>
      <c r="Q312" s="245">
        <v>10</v>
      </c>
      <c r="R312" s="30">
        <v>0</v>
      </c>
      <c r="S312" s="5">
        <v>13832</v>
      </c>
      <c r="T312" s="5">
        <v>13832</v>
      </c>
      <c r="U312" s="15">
        <f t="shared" si="29"/>
        <v>0</v>
      </c>
      <c r="V312" s="313">
        <f t="shared" si="35"/>
        <v>1</v>
      </c>
      <c r="W312" s="245">
        <v>2533</v>
      </c>
      <c r="X312" s="312"/>
      <c r="Y312" s="313"/>
      <c r="Z312" s="114">
        <f t="shared" si="28"/>
        <v>120</v>
      </c>
    </row>
    <row r="313" spans="1:26" s="245" customFormat="1" x14ac:dyDescent="0.25">
      <c r="A313" s="97" t="s">
        <v>1553</v>
      </c>
      <c r="B313" s="97" t="s">
        <v>1203</v>
      </c>
      <c r="C313" s="97"/>
      <c r="D313" s="97"/>
      <c r="E313" s="97"/>
      <c r="F313" s="97" t="s">
        <v>934</v>
      </c>
      <c r="G313" s="132" t="str">
        <f t="shared" si="33"/>
        <v>10/1/2003</v>
      </c>
      <c r="H313" s="133">
        <v>10</v>
      </c>
      <c r="I313" s="133">
        <v>1</v>
      </c>
      <c r="J313" s="134">
        <v>2003</v>
      </c>
      <c r="K313" s="97" t="s">
        <v>931</v>
      </c>
      <c r="L313" s="97">
        <v>694</v>
      </c>
      <c r="M313" s="97" t="s">
        <v>796</v>
      </c>
      <c r="N313" s="311">
        <v>23328</v>
      </c>
      <c r="O313" s="311"/>
      <c r="Q313" s="245">
        <v>10</v>
      </c>
      <c r="R313" s="30">
        <v>0</v>
      </c>
      <c r="S313" s="5">
        <v>23327</v>
      </c>
      <c r="T313" s="5">
        <v>23327</v>
      </c>
      <c r="U313" s="15">
        <f t="shared" si="29"/>
        <v>0</v>
      </c>
      <c r="V313" s="313">
        <f t="shared" si="35"/>
        <v>1</v>
      </c>
      <c r="W313" s="245">
        <v>2533</v>
      </c>
      <c r="X313" s="312"/>
      <c r="Y313" s="313"/>
      <c r="Z313" s="114">
        <f t="shared" si="28"/>
        <v>120</v>
      </c>
    </row>
    <row r="314" spans="1:26" s="245" customFormat="1" x14ac:dyDescent="0.25">
      <c r="A314" s="97" t="s">
        <v>1554</v>
      </c>
      <c r="B314" s="97" t="s">
        <v>1490</v>
      </c>
      <c r="C314" s="97"/>
      <c r="D314" s="97"/>
      <c r="E314" s="97"/>
      <c r="F314" s="97" t="s">
        <v>1006</v>
      </c>
      <c r="G314" s="132" t="str">
        <f t="shared" si="33"/>
        <v>3/10/2006</v>
      </c>
      <c r="H314" s="133">
        <v>3</v>
      </c>
      <c r="I314" s="133">
        <v>10</v>
      </c>
      <c r="J314" s="134">
        <v>2006</v>
      </c>
      <c r="K314" s="97" t="s">
        <v>1491</v>
      </c>
      <c r="L314" s="97">
        <v>1568</v>
      </c>
      <c r="M314" s="97" t="s">
        <v>796</v>
      </c>
      <c r="N314" s="311">
        <v>5862.65</v>
      </c>
      <c r="O314" s="311"/>
      <c r="Q314" s="245">
        <v>10</v>
      </c>
      <c r="R314" s="30">
        <f t="shared" si="34"/>
        <v>48.84708333333333</v>
      </c>
      <c r="S314" s="5">
        <v>5373.1791666666668</v>
      </c>
      <c r="T314" s="313">
        <f t="shared" si="32"/>
        <v>5422.0262499999999</v>
      </c>
      <c r="U314" s="15">
        <f t="shared" si="29"/>
        <v>48.847083333333103</v>
      </c>
      <c r="V314" s="313">
        <f t="shared" si="35"/>
        <v>440.62374999999975</v>
      </c>
      <c r="W314" s="245">
        <v>8017</v>
      </c>
      <c r="X314" s="312"/>
      <c r="Y314" s="313"/>
      <c r="Z314" s="114">
        <f t="shared" si="28"/>
        <v>111</v>
      </c>
    </row>
    <row r="315" spans="1:26" s="245" customFormat="1" x14ac:dyDescent="0.25">
      <c r="A315" s="97" t="s">
        <v>1555</v>
      </c>
      <c r="B315" s="97" t="s">
        <v>1556</v>
      </c>
      <c r="C315" s="97"/>
      <c r="D315" s="97"/>
      <c r="E315" s="97"/>
      <c r="F315" s="97" t="s">
        <v>934</v>
      </c>
      <c r="G315" s="132" t="str">
        <f t="shared" si="33"/>
        <v>12/1/2003</v>
      </c>
      <c r="H315" s="133">
        <v>12</v>
      </c>
      <c r="I315" s="133">
        <v>1</v>
      </c>
      <c r="J315" s="134">
        <v>2003</v>
      </c>
      <c r="K315" s="97" t="s">
        <v>931</v>
      </c>
      <c r="L315" s="97">
        <v>703</v>
      </c>
      <c r="M315" s="97" t="s">
        <v>796</v>
      </c>
      <c r="N315" s="311">
        <v>10995</v>
      </c>
      <c r="O315" s="311"/>
      <c r="Q315" s="245">
        <v>10</v>
      </c>
      <c r="R315" s="30">
        <v>0</v>
      </c>
      <c r="S315" s="5">
        <v>10994</v>
      </c>
      <c r="T315" s="5">
        <v>10994</v>
      </c>
      <c r="U315" s="15">
        <f t="shared" si="29"/>
        <v>0</v>
      </c>
      <c r="V315" s="313">
        <f t="shared" si="35"/>
        <v>1</v>
      </c>
      <c r="W315" s="245">
        <v>2542</v>
      </c>
      <c r="X315" s="312"/>
      <c r="Y315" s="313"/>
      <c r="Z315" s="114">
        <f t="shared" si="28"/>
        <v>120</v>
      </c>
    </row>
    <row r="316" spans="1:26" s="245" customFormat="1" x14ac:dyDescent="0.25">
      <c r="A316" s="97" t="s">
        <v>1557</v>
      </c>
      <c r="B316" s="97" t="s">
        <v>1240</v>
      </c>
      <c r="C316" s="97"/>
      <c r="D316" s="97" t="s">
        <v>1558</v>
      </c>
      <c r="E316" s="97"/>
      <c r="F316" s="97" t="s">
        <v>1241</v>
      </c>
      <c r="G316" s="132" t="str">
        <f t="shared" si="33"/>
        <v>19/1/2004</v>
      </c>
      <c r="H316" s="133">
        <v>19</v>
      </c>
      <c r="I316" s="133">
        <v>1</v>
      </c>
      <c r="J316" s="134">
        <v>2004</v>
      </c>
      <c r="K316" s="97" t="s">
        <v>56</v>
      </c>
      <c r="L316" s="97" t="s">
        <v>1242</v>
      </c>
      <c r="M316" s="97" t="s">
        <v>796</v>
      </c>
      <c r="N316" s="311">
        <v>9686.7000000000007</v>
      </c>
      <c r="O316" s="311"/>
      <c r="Q316" s="245">
        <v>10</v>
      </c>
      <c r="R316" s="30">
        <v>0</v>
      </c>
      <c r="S316" s="5">
        <v>9685.7000000000007</v>
      </c>
      <c r="T316" s="5">
        <v>9685.7000000000007</v>
      </c>
      <c r="U316" s="15">
        <f t="shared" si="29"/>
        <v>0</v>
      </c>
      <c r="V316" s="313">
        <f t="shared" si="35"/>
        <v>1</v>
      </c>
      <c r="W316" s="245">
        <v>2983</v>
      </c>
      <c r="X316" s="312"/>
      <c r="Y316" s="313"/>
      <c r="Z316" s="114">
        <f t="shared" si="28"/>
        <v>120</v>
      </c>
    </row>
    <row r="317" spans="1:26" s="245" customFormat="1" x14ac:dyDescent="0.25">
      <c r="A317" s="97" t="s">
        <v>1559</v>
      </c>
      <c r="B317" s="97" t="s">
        <v>1560</v>
      </c>
      <c r="C317" s="97"/>
      <c r="D317" s="97"/>
      <c r="E317" s="97"/>
      <c r="F317" s="97" t="s">
        <v>934</v>
      </c>
      <c r="G317" s="132" t="str">
        <f t="shared" si="33"/>
        <v>12/8/2003</v>
      </c>
      <c r="H317" s="133">
        <v>12</v>
      </c>
      <c r="I317" s="133">
        <v>8</v>
      </c>
      <c r="J317" s="134">
        <v>2003</v>
      </c>
      <c r="K317" s="97" t="s">
        <v>931</v>
      </c>
      <c r="L317" s="97">
        <v>727</v>
      </c>
      <c r="M317" s="97" t="s">
        <v>796</v>
      </c>
      <c r="N317" s="311">
        <v>5310</v>
      </c>
      <c r="O317" s="311"/>
      <c r="Q317" s="245">
        <v>10</v>
      </c>
      <c r="R317" s="30">
        <v>0</v>
      </c>
      <c r="S317" s="5">
        <v>5309</v>
      </c>
      <c r="T317" s="5">
        <v>5309</v>
      </c>
      <c r="U317" s="15">
        <f t="shared" si="29"/>
        <v>0</v>
      </c>
      <c r="V317" s="313">
        <f t="shared" si="35"/>
        <v>1</v>
      </c>
      <c r="W317" s="245">
        <v>2710</v>
      </c>
      <c r="X317" s="312"/>
      <c r="Y317" s="313"/>
      <c r="Z317" s="114">
        <f t="shared" si="28"/>
        <v>120</v>
      </c>
    </row>
    <row r="318" spans="1:26" s="245" customFormat="1" x14ac:dyDescent="0.25">
      <c r="A318" s="97" t="s">
        <v>1561</v>
      </c>
      <c r="B318" s="196" t="s">
        <v>1562</v>
      </c>
      <c r="C318" s="97" t="s">
        <v>1336</v>
      </c>
      <c r="D318" s="97"/>
      <c r="E318" s="97"/>
      <c r="F318" s="97" t="s">
        <v>1563</v>
      </c>
      <c r="G318" s="132" t="str">
        <f t="shared" si="33"/>
        <v>27/9/2006</v>
      </c>
      <c r="H318" s="133">
        <v>27</v>
      </c>
      <c r="I318" s="133">
        <v>9</v>
      </c>
      <c r="J318" s="134">
        <v>2006</v>
      </c>
      <c r="K318" s="97" t="s">
        <v>931</v>
      </c>
      <c r="L318" s="97">
        <v>1642</v>
      </c>
      <c r="M318" s="97" t="s">
        <v>796</v>
      </c>
      <c r="N318" s="311">
        <v>3280</v>
      </c>
      <c r="O318" s="311" t="s">
        <v>1564</v>
      </c>
      <c r="Q318" s="245">
        <v>10</v>
      </c>
      <c r="R318" s="30">
        <f t="shared" si="34"/>
        <v>27.324999999999999</v>
      </c>
      <c r="S318" s="5">
        <v>3033.0749999999998</v>
      </c>
      <c r="T318" s="313">
        <f t="shared" si="32"/>
        <v>3060.4</v>
      </c>
      <c r="U318" s="15">
        <f t="shared" si="29"/>
        <v>27.325000000000273</v>
      </c>
      <c r="V318" s="313">
        <f t="shared" si="35"/>
        <v>219.59999999999991</v>
      </c>
      <c r="W318" s="245">
        <v>8740</v>
      </c>
      <c r="X318" s="312"/>
      <c r="Y318" s="313"/>
      <c r="Z318" s="114">
        <f t="shared" si="28"/>
        <v>112</v>
      </c>
    </row>
    <row r="319" spans="1:26" s="245" customFormat="1" x14ac:dyDescent="0.25">
      <c r="A319" s="97" t="s">
        <v>1565</v>
      </c>
      <c r="B319" s="196" t="s">
        <v>1562</v>
      </c>
      <c r="C319" s="97" t="s">
        <v>1336</v>
      </c>
      <c r="D319" s="97"/>
      <c r="E319" s="97"/>
      <c r="F319" s="97" t="s">
        <v>1563</v>
      </c>
      <c r="G319" s="132" t="str">
        <f t="shared" si="33"/>
        <v>27/9/2006</v>
      </c>
      <c r="H319" s="133">
        <v>27</v>
      </c>
      <c r="I319" s="133">
        <v>9</v>
      </c>
      <c r="J319" s="134">
        <v>2006</v>
      </c>
      <c r="K319" s="97" t="s">
        <v>931</v>
      </c>
      <c r="L319" s="97">
        <v>1642</v>
      </c>
      <c r="M319" s="97" t="s">
        <v>796</v>
      </c>
      <c r="N319" s="311">
        <v>3280</v>
      </c>
      <c r="O319" s="311" t="s">
        <v>1365</v>
      </c>
      <c r="Q319" s="245">
        <v>10</v>
      </c>
      <c r="R319" s="30">
        <f t="shared" si="34"/>
        <v>27.324999999999999</v>
      </c>
      <c r="S319" s="5">
        <v>3033.0749999999998</v>
      </c>
      <c r="T319" s="313">
        <f t="shared" si="32"/>
        <v>3060.4</v>
      </c>
      <c r="U319" s="15">
        <f t="shared" si="29"/>
        <v>27.325000000000273</v>
      </c>
      <c r="V319" s="313">
        <f t="shared" si="35"/>
        <v>219.59999999999991</v>
      </c>
      <c r="W319" s="245">
        <v>8740</v>
      </c>
      <c r="X319" s="312"/>
      <c r="Y319" s="313"/>
      <c r="Z319" s="114">
        <f t="shared" si="28"/>
        <v>112</v>
      </c>
    </row>
    <row r="320" spans="1:26" s="245" customFormat="1" x14ac:dyDescent="0.25">
      <c r="A320" s="97" t="s">
        <v>1566</v>
      </c>
      <c r="B320" s="97" t="s">
        <v>912</v>
      </c>
      <c r="C320" s="97"/>
      <c r="D320" s="97" t="s">
        <v>1567</v>
      </c>
      <c r="E320" s="97"/>
      <c r="F320" s="97" t="s">
        <v>1568</v>
      </c>
      <c r="G320" s="132" t="str">
        <f t="shared" si="33"/>
        <v>23/3/2005</v>
      </c>
      <c r="H320" s="133">
        <v>23</v>
      </c>
      <c r="I320" s="133">
        <v>3</v>
      </c>
      <c r="J320" s="134">
        <v>2005</v>
      </c>
      <c r="K320" s="97" t="s">
        <v>56</v>
      </c>
      <c r="L320" s="97">
        <v>541</v>
      </c>
      <c r="M320" s="97" t="s">
        <v>796</v>
      </c>
      <c r="N320" s="311">
        <v>3730</v>
      </c>
      <c r="O320" s="311"/>
      <c r="Q320" s="245">
        <v>10</v>
      </c>
      <c r="R320" s="30">
        <v>0</v>
      </c>
      <c r="S320" s="5">
        <v>3729</v>
      </c>
      <c r="T320" s="5">
        <v>3729</v>
      </c>
      <c r="U320" s="15">
        <f t="shared" si="29"/>
        <v>0</v>
      </c>
      <c r="V320" s="313">
        <f t="shared" si="35"/>
        <v>1</v>
      </c>
      <c r="W320" s="245">
        <v>5915</v>
      </c>
      <c r="X320" s="312"/>
      <c r="Y320" s="313"/>
      <c r="Z320" s="114">
        <f t="shared" si="28"/>
        <v>120</v>
      </c>
    </row>
    <row r="321" spans="1:26" s="245" customFormat="1" x14ac:dyDescent="0.25">
      <c r="A321" s="97" t="s">
        <v>1569</v>
      </c>
      <c r="B321" s="97" t="s">
        <v>1570</v>
      </c>
      <c r="C321" s="97" t="s">
        <v>1571</v>
      </c>
      <c r="D321" s="97" t="s">
        <v>1572</v>
      </c>
      <c r="E321" s="97"/>
      <c r="F321" s="97" t="s">
        <v>1463</v>
      </c>
      <c r="G321" s="132" t="str">
        <f t="shared" si="33"/>
        <v>17/5/2005</v>
      </c>
      <c r="H321" s="133">
        <v>17</v>
      </c>
      <c r="I321" s="133">
        <v>5</v>
      </c>
      <c r="J321" s="134">
        <v>2005</v>
      </c>
      <c r="K321" s="97" t="s">
        <v>56</v>
      </c>
      <c r="L321" s="134">
        <v>8314</v>
      </c>
      <c r="M321" s="97" t="s">
        <v>796</v>
      </c>
      <c r="N321" s="311">
        <v>11091.06</v>
      </c>
      <c r="O321" s="311"/>
      <c r="Q321" s="245">
        <v>10</v>
      </c>
      <c r="R321" s="30">
        <v>0</v>
      </c>
      <c r="S321" s="5">
        <v>11090.06</v>
      </c>
      <c r="T321" s="5">
        <v>11090.06</v>
      </c>
      <c r="U321" s="15">
        <f t="shared" si="29"/>
        <v>0</v>
      </c>
      <c r="V321" s="313">
        <f t="shared" si="35"/>
        <v>1</v>
      </c>
      <c r="W321" s="245">
        <v>6358</v>
      </c>
      <c r="X321" s="312"/>
      <c r="Y321" s="313"/>
      <c r="Z321" s="114">
        <f t="shared" si="28"/>
        <v>120</v>
      </c>
    </row>
    <row r="322" spans="1:26" s="245" customFormat="1" x14ac:dyDescent="0.25">
      <c r="A322" s="97" t="s">
        <v>1573</v>
      </c>
      <c r="B322" s="97" t="s">
        <v>1574</v>
      </c>
      <c r="C322" s="97" t="s">
        <v>1575</v>
      </c>
      <c r="D322" s="97"/>
      <c r="E322" s="97" t="s">
        <v>1576</v>
      </c>
      <c r="F322" s="97" t="s">
        <v>1577</v>
      </c>
      <c r="G322" s="132" t="str">
        <f t="shared" si="33"/>
        <v>2/11/2005</v>
      </c>
      <c r="H322" s="133">
        <v>2</v>
      </c>
      <c r="I322" s="133">
        <v>11</v>
      </c>
      <c r="J322" s="134">
        <v>2005</v>
      </c>
      <c r="K322" s="97" t="s">
        <v>56</v>
      </c>
      <c r="L322" s="134">
        <v>11261</v>
      </c>
      <c r="M322" s="97" t="s">
        <v>796</v>
      </c>
      <c r="N322" s="311">
        <v>63200</v>
      </c>
      <c r="O322" s="311" t="s">
        <v>1578</v>
      </c>
      <c r="Q322" s="245">
        <v>10</v>
      </c>
      <c r="R322" s="30">
        <v>0</v>
      </c>
      <c r="S322" s="5">
        <v>63199</v>
      </c>
      <c r="T322" s="5">
        <v>63199</v>
      </c>
      <c r="U322" s="15">
        <f t="shared" si="29"/>
        <v>0</v>
      </c>
      <c r="V322" s="313">
        <f t="shared" si="35"/>
        <v>1</v>
      </c>
      <c r="W322" s="245">
        <v>5585</v>
      </c>
      <c r="X322" s="312"/>
      <c r="Y322" s="313"/>
      <c r="Z322" s="114">
        <f t="shared" si="28"/>
        <v>120</v>
      </c>
    </row>
    <row r="323" spans="1:26" s="245" customFormat="1" x14ac:dyDescent="0.25">
      <c r="A323" s="97" t="s">
        <v>1579</v>
      </c>
      <c r="B323" s="97" t="s">
        <v>1580</v>
      </c>
      <c r="C323" s="97" t="s">
        <v>1581</v>
      </c>
      <c r="D323" s="97" t="s">
        <v>1582</v>
      </c>
      <c r="E323" s="97"/>
      <c r="F323" s="97" t="s">
        <v>1583</v>
      </c>
      <c r="G323" s="132" t="str">
        <f t="shared" si="33"/>
        <v>11/11/2004</v>
      </c>
      <c r="H323" s="133">
        <v>11</v>
      </c>
      <c r="I323" s="133">
        <v>11</v>
      </c>
      <c r="J323" s="134">
        <v>2004</v>
      </c>
      <c r="K323" s="97" t="s">
        <v>56</v>
      </c>
      <c r="L323" s="134" t="s">
        <v>1584</v>
      </c>
      <c r="M323" s="97" t="s">
        <v>796</v>
      </c>
      <c r="N323" s="311">
        <v>80590</v>
      </c>
      <c r="O323" s="311"/>
      <c r="Q323" s="245">
        <v>10</v>
      </c>
      <c r="R323" s="30">
        <v>0</v>
      </c>
      <c r="S323" s="5">
        <v>80588.999999999985</v>
      </c>
      <c r="T323" s="5">
        <v>80588.999999999985</v>
      </c>
      <c r="U323" s="15">
        <f t="shared" si="29"/>
        <v>0</v>
      </c>
      <c r="V323" s="313">
        <f t="shared" si="35"/>
        <v>1.0000000000145519</v>
      </c>
      <c r="W323" s="245">
        <v>5145</v>
      </c>
      <c r="X323" s="312"/>
      <c r="Y323" s="313"/>
      <c r="Z323" s="114">
        <f t="shared" si="28"/>
        <v>120</v>
      </c>
    </row>
    <row r="324" spans="1:26" s="245" customFormat="1" x14ac:dyDescent="0.25">
      <c r="A324" s="97" t="s">
        <v>1585</v>
      </c>
      <c r="B324" s="97" t="s">
        <v>1036</v>
      </c>
      <c r="C324" s="97" t="s">
        <v>1187</v>
      </c>
      <c r="D324" s="97" t="s">
        <v>1586</v>
      </c>
      <c r="E324" s="97" t="s">
        <v>1587</v>
      </c>
      <c r="F324" s="97" t="s">
        <v>1588</v>
      </c>
      <c r="G324" s="132" t="str">
        <f t="shared" si="33"/>
        <v>1/3/2005</v>
      </c>
      <c r="H324" s="133">
        <v>1</v>
      </c>
      <c r="I324" s="133">
        <v>3</v>
      </c>
      <c r="J324" s="134">
        <v>2005</v>
      </c>
      <c r="K324" s="97" t="s">
        <v>56</v>
      </c>
      <c r="L324" s="134">
        <v>33910</v>
      </c>
      <c r="M324" s="97" t="s">
        <v>796</v>
      </c>
      <c r="N324" s="311">
        <v>13499.99</v>
      </c>
      <c r="O324" s="311"/>
      <c r="Q324" s="245">
        <v>10</v>
      </c>
      <c r="R324" s="30">
        <v>0</v>
      </c>
      <c r="S324" s="5">
        <v>13498.989999999998</v>
      </c>
      <c r="T324" s="5">
        <v>13498.989999999998</v>
      </c>
      <c r="U324" s="15">
        <f t="shared" si="29"/>
        <v>0</v>
      </c>
      <c r="V324" s="313">
        <f t="shared" si="35"/>
        <v>1.000000000001819</v>
      </c>
      <c r="W324" s="245">
        <v>5774</v>
      </c>
      <c r="X324" s="312"/>
      <c r="Y324" s="313"/>
      <c r="Z324" s="114">
        <f t="shared" si="28"/>
        <v>120</v>
      </c>
    </row>
    <row r="325" spans="1:26" s="245" customFormat="1" x14ac:dyDescent="0.25">
      <c r="A325" s="97" t="s">
        <v>1589</v>
      </c>
      <c r="B325" s="97" t="s">
        <v>1590</v>
      </c>
      <c r="C325" s="97"/>
      <c r="D325" s="97" t="s">
        <v>1591</v>
      </c>
      <c r="E325" s="97"/>
      <c r="F325" s="97" t="s">
        <v>847</v>
      </c>
      <c r="G325" s="132" t="str">
        <f t="shared" si="33"/>
        <v>20/6/2005</v>
      </c>
      <c r="H325" s="133">
        <v>20</v>
      </c>
      <c r="I325" s="133">
        <v>6</v>
      </c>
      <c r="J325" s="134">
        <v>2005</v>
      </c>
      <c r="K325" s="97" t="s">
        <v>56</v>
      </c>
      <c r="L325" s="134">
        <v>6063</v>
      </c>
      <c r="M325" s="97" t="s">
        <v>796</v>
      </c>
      <c r="N325" s="311">
        <v>5800</v>
      </c>
      <c r="O325" s="311"/>
      <c r="Q325" s="245">
        <v>10</v>
      </c>
      <c r="R325" s="30">
        <v>0</v>
      </c>
      <c r="S325" s="5">
        <v>5798.9999999999991</v>
      </c>
      <c r="T325" s="5">
        <v>5798.9999999999991</v>
      </c>
      <c r="U325" s="15">
        <f t="shared" si="29"/>
        <v>0</v>
      </c>
      <c r="V325" s="313">
        <f t="shared" si="35"/>
        <v>1.0000000000009095</v>
      </c>
      <c r="W325" s="245">
        <v>6492</v>
      </c>
      <c r="X325" s="312"/>
      <c r="Y325" s="313"/>
      <c r="Z325" s="114">
        <f t="shared" si="28"/>
        <v>120</v>
      </c>
    </row>
    <row r="326" spans="1:26" s="318" customFormat="1" x14ac:dyDescent="0.25">
      <c r="A326" s="97" t="s">
        <v>1592</v>
      </c>
      <c r="B326" s="97" t="s">
        <v>1593</v>
      </c>
      <c r="C326" s="97"/>
      <c r="D326" s="97"/>
      <c r="E326" s="97"/>
      <c r="F326" s="97" t="s">
        <v>847</v>
      </c>
      <c r="G326" s="132" t="str">
        <f t="shared" si="33"/>
        <v>20/6/2005</v>
      </c>
      <c r="H326" s="133">
        <v>20</v>
      </c>
      <c r="I326" s="133">
        <v>6</v>
      </c>
      <c r="J326" s="134">
        <v>2005</v>
      </c>
      <c r="K326" s="97" t="s">
        <v>56</v>
      </c>
      <c r="L326" s="134">
        <v>6063</v>
      </c>
      <c r="M326" s="97" t="s">
        <v>796</v>
      </c>
      <c r="N326" s="311">
        <v>4050.72</v>
      </c>
      <c r="O326" s="311"/>
      <c r="P326" s="245"/>
      <c r="Q326" s="245">
        <v>10</v>
      </c>
      <c r="R326" s="30">
        <v>0</v>
      </c>
      <c r="S326" s="5">
        <v>4049.7200000000003</v>
      </c>
      <c r="T326" s="5">
        <v>4049.7200000000003</v>
      </c>
      <c r="U326" s="15">
        <f t="shared" si="29"/>
        <v>0</v>
      </c>
      <c r="V326" s="313">
        <f t="shared" si="35"/>
        <v>0.99999999999954525</v>
      </c>
      <c r="W326" s="245">
        <v>6492</v>
      </c>
      <c r="X326" s="312"/>
      <c r="Y326" s="313"/>
      <c r="Z326" s="114">
        <f t="shared" si="28"/>
        <v>120</v>
      </c>
    </row>
    <row r="327" spans="1:26" s="318" customFormat="1" x14ac:dyDescent="0.25">
      <c r="A327" s="97" t="s">
        <v>1594</v>
      </c>
      <c r="B327" s="97" t="s">
        <v>1595</v>
      </c>
      <c r="C327" s="97"/>
      <c r="D327" s="97" t="s">
        <v>1165</v>
      </c>
      <c r="E327" s="97"/>
      <c r="F327" s="97" t="s">
        <v>847</v>
      </c>
      <c r="G327" s="132" t="str">
        <f t="shared" si="33"/>
        <v>20/6/2005</v>
      </c>
      <c r="H327" s="133">
        <v>20</v>
      </c>
      <c r="I327" s="133">
        <v>6</v>
      </c>
      <c r="J327" s="134">
        <v>2005</v>
      </c>
      <c r="K327" s="97" t="s">
        <v>56</v>
      </c>
      <c r="L327" s="134">
        <v>6063</v>
      </c>
      <c r="M327" s="97" t="s">
        <v>796</v>
      </c>
      <c r="N327" s="311">
        <v>6913.6</v>
      </c>
      <c r="O327" s="311" t="s">
        <v>1167</v>
      </c>
      <c r="P327" s="245"/>
      <c r="Q327" s="245">
        <v>10</v>
      </c>
      <c r="R327" s="30">
        <v>0</v>
      </c>
      <c r="S327" s="5">
        <v>6912.5999999999995</v>
      </c>
      <c r="T327" s="5">
        <v>6912.5999999999995</v>
      </c>
      <c r="U327" s="15">
        <f t="shared" si="29"/>
        <v>0</v>
      </c>
      <c r="V327" s="313">
        <f t="shared" si="35"/>
        <v>1.0000000000009095</v>
      </c>
      <c r="W327" s="245">
        <v>6492</v>
      </c>
      <c r="X327" s="312"/>
      <c r="Y327" s="313"/>
      <c r="Z327" s="114">
        <f t="shared" si="28"/>
        <v>120</v>
      </c>
    </row>
    <row r="328" spans="1:26" s="245" customFormat="1" x14ac:dyDescent="0.25">
      <c r="A328" s="97" t="s">
        <v>1596</v>
      </c>
      <c r="B328" s="97" t="s">
        <v>1597</v>
      </c>
      <c r="C328" s="97"/>
      <c r="D328" s="97"/>
      <c r="E328" s="97"/>
      <c r="F328" s="97" t="s">
        <v>847</v>
      </c>
      <c r="G328" s="132" t="str">
        <f t="shared" si="33"/>
        <v>20/6/2005</v>
      </c>
      <c r="H328" s="133">
        <v>20</v>
      </c>
      <c r="I328" s="133">
        <v>6</v>
      </c>
      <c r="J328" s="134">
        <v>2005</v>
      </c>
      <c r="K328" s="97" t="s">
        <v>56</v>
      </c>
      <c r="L328" s="134">
        <v>6062</v>
      </c>
      <c r="M328" s="97" t="s">
        <v>796</v>
      </c>
      <c r="N328" s="311">
        <v>7795.2</v>
      </c>
      <c r="O328" s="311"/>
      <c r="Q328" s="245">
        <v>10</v>
      </c>
      <c r="R328" s="30">
        <v>0</v>
      </c>
      <c r="S328" s="5">
        <v>7794.2</v>
      </c>
      <c r="T328" s="5">
        <v>7794.2</v>
      </c>
      <c r="U328" s="15">
        <f>T328-S328</f>
        <v>0</v>
      </c>
      <c r="V328" s="313">
        <f t="shared" si="35"/>
        <v>1</v>
      </c>
      <c r="W328" s="245">
        <v>6483</v>
      </c>
      <c r="X328" s="312"/>
      <c r="Y328" s="313"/>
      <c r="Z328" s="114">
        <f t="shared" si="28"/>
        <v>120</v>
      </c>
    </row>
    <row r="329" spans="1:26" s="245" customFormat="1" x14ac:dyDescent="0.25">
      <c r="A329" s="97" t="s">
        <v>1598</v>
      </c>
      <c r="B329" s="97" t="s">
        <v>1599</v>
      </c>
      <c r="C329" s="97"/>
      <c r="D329" s="97" t="s">
        <v>1600</v>
      </c>
      <c r="E329" s="97"/>
      <c r="F329" s="97" t="s">
        <v>1601</v>
      </c>
      <c r="G329" s="132" t="str">
        <f t="shared" si="33"/>
        <v>26/7/2005</v>
      </c>
      <c r="H329" s="133">
        <v>26</v>
      </c>
      <c r="I329" s="133">
        <v>7</v>
      </c>
      <c r="J329" s="134">
        <v>2005</v>
      </c>
      <c r="K329" s="97" t="s">
        <v>56</v>
      </c>
      <c r="L329" s="134">
        <v>335</v>
      </c>
      <c r="M329" s="97" t="s">
        <v>796</v>
      </c>
      <c r="N329" s="311">
        <v>2500</v>
      </c>
      <c r="O329" s="311"/>
      <c r="Q329" s="245">
        <v>10</v>
      </c>
      <c r="R329" s="30">
        <v>0</v>
      </c>
      <c r="S329" s="5">
        <v>2499</v>
      </c>
      <c r="T329" s="5">
        <v>2499</v>
      </c>
      <c r="U329" s="15">
        <f>T329-S329</f>
        <v>0</v>
      </c>
      <c r="V329" s="313">
        <f t="shared" si="35"/>
        <v>1</v>
      </c>
      <c r="W329" s="245">
        <v>6832</v>
      </c>
      <c r="X329" s="312"/>
      <c r="Y329" s="313"/>
      <c r="Z329" s="114">
        <f t="shared" si="28"/>
        <v>120</v>
      </c>
    </row>
    <row r="330" spans="1:26" s="245" customFormat="1" x14ac:dyDescent="0.25">
      <c r="A330" s="97" t="s">
        <v>1602</v>
      </c>
      <c r="B330" s="97" t="s">
        <v>1599</v>
      </c>
      <c r="C330" s="97"/>
      <c r="D330" s="97" t="s">
        <v>1600</v>
      </c>
      <c r="E330" s="97"/>
      <c r="F330" s="97" t="s">
        <v>1601</v>
      </c>
      <c r="G330" s="132" t="str">
        <f t="shared" si="33"/>
        <v>26/7/2005</v>
      </c>
      <c r="H330" s="133">
        <v>26</v>
      </c>
      <c r="I330" s="133">
        <v>7</v>
      </c>
      <c r="J330" s="134">
        <v>2005</v>
      </c>
      <c r="K330" s="97" t="s">
        <v>56</v>
      </c>
      <c r="L330" s="134">
        <v>335</v>
      </c>
      <c r="M330" s="97" t="s">
        <v>796</v>
      </c>
      <c r="N330" s="311">
        <v>2500</v>
      </c>
      <c r="O330" s="311"/>
      <c r="Q330" s="245">
        <v>10</v>
      </c>
      <c r="R330" s="30">
        <v>0</v>
      </c>
      <c r="S330" s="5">
        <v>2499</v>
      </c>
      <c r="T330" s="5">
        <v>2499</v>
      </c>
      <c r="U330" s="15">
        <f>T330-S330</f>
        <v>0</v>
      </c>
      <c r="V330" s="313">
        <f t="shared" si="35"/>
        <v>1</v>
      </c>
      <c r="W330" s="245">
        <v>6832</v>
      </c>
      <c r="X330" s="312"/>
      <c r="Y330" s="313"/>
      <c r="Z330" s="114">
        <f t="shared" si="28"/>
        <v>120</v>
      </c>
    </row>
    <row r="331" spans="1:26" s="245" customFormat="1" x14ac:dyDescent="0.25">
      <c r="A331" s="22" t="s">
        <v>180</v>
      </c>
      <c r="B331" s="97"/>
      <c r="C331" s="97"/>
      <c r="D331" s="97"/>
      <c r="E331" s="97"/>
      <c r="F331" s="97"/>
      <c r="G331" s="132"/>
      <c r="H331" s="133"/>
      <c r="I331" s="133"/>
      <c r="J331" s="134"/>
      <c r="K331" s="97"/>
      <c r="L331" s="134"/>
      <c r="M331" s="97"/>
      <c r="N331" s="26">
        <f>SUM(N7:N330)</f>
        <v>2208422.8899999978</v>
      </c>
      <c r="O331" s="26">
        <f t="shared" ref="O331:V331" si="36">SUM(O7:O330)</f>
        <v>0</v>
      </c>
      <c r="P331" s="26">
        <f t="shared" si="36"/>
        <v>0</v>
      </c>
      <c r="Q331" s="28"/>
      <c r="R331" s="26">
        <f t="shared" si="36"/>
        <v>1793.8989166666665</v>
      </c>
      <c r="S331" s="26">
        <v>2195292.5511666639</v>
      </c>
      <c r="T331" s="26">
        <f t="shared" si="36"/>
        <v>2197086.4500833312</v>
      </c>
      <c r="U331" s="26">
        <f t="shared" si="36"/>
        <v>1793.8989166666693</v>
      </c>
      <c r="V331" s="26">
        <f t="shared" si="36"/>
        <v>11336.439916666644</v>
      </c>
      <c r="X331" s="312"/>
      <c r="Y331" s="313"/>
      <c r="Z331" s="114"/>
    </row>
    <row r="332" spans="1:26" s="245" customFormat="1" x14ac:dyDescent="0.25">
      <c r="B332" s="97"/>
      <c r="C332" s="97"/>
      <c r="D332" s="97"/>
      <c r="E332" s="97"/>
      <c r="F332" s="97"/>
      <c r="G332" s="132"/>
      <c r="H332" s="133"/>
      <c r="I332" s="133"/>
      <c r="J332" s="134"/>
      <c r="K332" s="97"/>
      <c r="L332" s="134"/>
      <c r="M332" s="97"/>
      <c r="N332" s="311"/>
      <c r="O332" s="311"/>
      <c r="R332" s="30"/>
      <c r="S332" s="30"/>
      <c r="T332" s="313"/>
      <c r="U332" s="313"/>
      <c r="V332" s="313"/>
      <c r="X332" s="312"/>
      <c r="Y332" s="313"/>
      <c r="Z332" s="114"/>
    </row>
    <row r="333" spans="1:26" s="245" customFormat="1" x14ac:dyDescent="0.25">
      <c r="A333" s="22" t="s">
        <v>181</v>
      </c>
      <c r="B333" s="97"/>
      <c r="C333" s="97"/>
      <c r="D333" s="97"/>
      <c r="E333" s="97"/>
      <c r="F333" s="97"/>
      <c r="G333" s="132"/>
      <c r="H333" s="133"/>
      <c r="I333" s="133"/>
      <c r="J333" s="134"/>
      <c r="K333" s="97"/>
      <c r="L333" s="97"/>
      <c r="M333" s="97"/>
      <c r="N333" s="29">
        <f>N331</f>
        <v>2208422.8899999978</v>
      </c>
      <c r="O333" s="29">
        <f>O331</f>
        <v>0</v>
      </c>
      <c r="P333" s="29"/>
      <c r="Q333" s="28"/>
      <c r="R333" s="29">
        <f>R331</f>
        <v>1793.8989166666665</v>
      </c>
      <c r="S333" s="29">
        <v>2195292.5511666639</v>
      </c>
      <c r="T333" s="29">
        <f>T331</f>
        <v>2197086.4500833312</v>
      </c>
      <c r="U333" s="29">
        <f>U331</f>
        <v>1793.8989166666693</v>
      </c>
      <c r="V333" s="29">
        <f>V331</f>
        <v>11336.439916666644</v>
      </c>
      <c r="X333" s="312"/>
      <c r="Y333" s="313"/>
      <c r="Z333" s="114"/>
    </row>
    <row r="334" spans="1:26" s="245" customFormat="1" x14ac:dyDescent="0.25">
      <c r="A334" s="22"/>
      <c r="B334" s="97"/>
      <c r="C334" s="97"/>
      <c r="D334" s="97"/>
      <c r="E334" s="97"/>
      <c r="F334" s="97"/>
      <c r="G334" s="132"/>
      <c r="H334" s="133"/>
      <c r="I334" s="133"/>
      <c r="J334" s="134"/>
      <c r="K334" s="97"/>
      <c r="L334" s="134"/>
      <c r="M334" s="97"/>
      <c r="N334" s="311"/>
      <c r="O334" s="311"/>
      <c r="R334" s="30"/>
      <c r="S334" s="30"/>
      <c r="T334" s="313"/>
      <c r="U334" s="313"/>
      <c r="V334" s="313"/>
      <c r="X334" s="312"/>
      <c r="Y334" s="313"/>
      <c r="Z334" s="114"/>
    </row>
    <row r="335" spans="1:26" s="245" customFormat="1" x14ac:dyDescent="0.25">
      <c r="A335" s="97" t="s">
        <v>1603</v>
      </c>
      <c r="B335" s="97" t="s">
        <v>1604</v>
      </c>
      <c r="C335" s="97"/>
      <c r="D335" s="97"/>
      <c r="E335" s="97"/>
      <c r="F335" s="97" t="s">
        <v>1605</v>
      </c>
      <c r="G335" s="132" t="str">
        <f t="shared" ref="G335:G366" si="37">CONCATENATE(H335,"/",I335,"/",J335,)</f>
        <v>23/12/2007</v>
      </c>
      <c r="H335" s="133">
        <v>23</v>
      </c>
      <c r="I335" s="133">
        <v>12</v>
      </c>
      <c r="J335" s="134">
        <v>2007</v>
      </c>
      <c r="K335" s="97" t="s">
        <v>56</v>
      </c>
      <c r="L335" s="134">
        <v>2</v>
      </c>
      <c r="M335" s="97" t="s">
        <v>796</v>
      </c>
      <c r="N335" s="311">
        <v>4060</v>
      </c>
      <c r="O335" s="311" t="s">
        <v>998</v>
      </c>
      <c r="Q335" s="245">
        <v>10</v>
      </c>
      <c r="R335" s="30">
        <f t="shared" ref="R335:R366" si="38">(((N335)-1)/10)/12</f>
        <v>33.824999999999996</v>
      </c>
      <c r="S335" s="5">
        <v>3247.2</v>
      </c>
      <c r="T335" s="313">
        <f t="shared" ref="T335:T366" si="39">Z335*R335</f>
        <v>3281.0249999999996</v>
      </c>
      <c r="U335" s="15">
        <f t="shared" ref="U335:U398" si="40">T335-S335</f>
        <v>33.824999999999818</v>
      </c>
      <c r="V335" s="313">
        <f t="shared" ref="V335:V366" si="41">N335-T335</f>
        <v>778.97500000000036</v>
      </c>
      <c r="W335" s="245">
        <v>9257</v>
      </c>
      <c r="X335" s="312"/>
      <c r="Y335" s="313"/>
      <c r="Z335" s="114">
        <f t="shared" ref="Z335:Z366" si="42">IF((DATEDIF(G335,Z$4,"m"))&gt;=120,120,(DATEDIF(G335,Z$4,"m")))</f>
        <v>97</v>
      </c>
    </row>
    <row r="336" spans="1:26" s="245" customFormat="1" x14ac:dyDescent="0.25">
      <c r="A336" s="97" t="s">
        <v>1606</v>
      </c>
      <c r="B336" s="97" t="s">
        <v>1607</v>
      </c>
      <c r="C336" s="97"/>
      <c r="D336" s="97"/>
      <c r="E336" s="97"/>
      <c r="F336" s="97" t="s">
        <v>1605</v>
      </c>
      <c r="G336" s="132" t="str">
        <f t="shared" si="37"/>
        <v>23/12/2007</v>
      </c>
      <c r="H336" s="133">
        <v>23</v>
      </c>
      <c r="I336" s="133">
        <v>12</v>
      </c>
      <c r="J336" s="134">
        <v>2007</v>
      </c>
      <c r="K336" s="97" t="s">
        <v>56</v>
      </c>
      <c r="L336" s="134">
        <v>2</v>
      </c>
      <c r="M336" s="97" t="s">
        <v>796</v>
      </c>
      <c r="N336" s="186">
        <v>5336</v>
      </c>
      <c r="O336" s="186"/>
      <c r="Q336" s="245">
        <v>10</v>
      </c>
      <c r="R336" s="30">
        <f t="shared" si="38"/>
        <v>44.458333333333336</v>
      </c>
      <c r="S336" s="5">
        <v>4268</v>
      </c>
      <c r="T336" s="313">
        <f t="shared" si="39"/>
        <v>4312.4583333333339</v>
      </c>
      <c r="U336" s="15">
        <f t="shared" si="40"/>
        <v>44.45833333333394</v>
      </c>
      <c r="V336" s="313">
        <f t="shared" si="41"/>
        <v>1023.5416666666661</v>
      </c>
      <c r="W336" s="245">
        <v>9257</v>
      </c>
      <c r="X336" s="312"/>
      <c r="Y336" s="313"/>
      <c r="Z336" s="114">
        <f t="shared" si="42"/>
        <v>97</v>
      </c>
    </row>
    <row r="337" spans="1:26" s="245" customFormat="1" x14ac:dyDescent="0.25">
      <c r="A337" s="97" t="s">
        <v>1608</v>
      </c>
      <c r="B337" s="97" t="s">
        <v>1609</v>
      </c>
      <c r="C337" s="97"/>
      <c r="D337" s="97"/>
      <c r="E337" s="97"/>
      <c r="F337" s="97" t="s">
        <v>1605</v>
      </c>
      <c r="G337" s="132" t="str">
        <f t="shared" si="37"/>
        <v>23/12/2007</v>
      </c>
      <c r="H337" s="133">
        <v>23</v>
      </c>
      <c r="I337" s="133">
        <v>12</v>
      </c>
      <c r="J337" s="134">
        <v>2007</v>
      </c>
      <c r="K337" s="97" t="s">
        <v>56</v>
      </c>
      <c r="L337" s="134">
        <v>2</v>
      </c>
      <c r="M337" s="97" t="s">
        <v>796</v>
      </c>
      <c r="N337" s="186">
        <v>4872</v>
      </c>
      <c r="O337" s="187" t="s">
        <v>998</v>
      </c>
      <c r="Q337" s="245">
        <v>10</v>
      </c>
      <c r="R337" s="30">
        <f t="shared" si="38"/>
        <v>40.591666666666669</v>
      </c>
      <c r="S337" s="5">
        <v>3896.8</v>
      </c>
      <c r="T337" s="313">
        <f t="shared" si="39"/>
        <v>3937.3916666666669</v>
      </c>
      <c r="U337" s="15">
        <f t="shared" si="40"/>
        <v>40.591666666666697</v>
      </c>
      <c r="V337" s="313">
        <f t="shared" si="41"/>
        <v>934.60833333333312</v>
      </c>
      <c r="W337" s="245">
        <v>9257</v>
      </c>
      <c r="X337" s="312"/>
      <c r="Y337" s="313"/>
      <c r="Z337" s="114">
        <f t="shared" si="42"/>
        <v>97</v>
      </c>
    </row>
    <row r="338" spans="1:26" s="245" customFormat="1" x14ac:dyDescent="0.25">
      <c r="A338" s="97" t="s">
        <v>1610</v>
      </c>
      <c r="B338" s="97" t="s">
        <v>1609</v>
      </c>
      <c r="C338" s="97"/>
      <c r="D338" s="97"/>
      <c r="E338" s="97"/>
      <c r="F338" s="97" t="s">
        <v>1605</v>
      </c>
      <c r="G338" s="132" t="str">
        <f t="shared" si="37"/>
        <v>23/12/2007</v>
      </c>
      <c r="H338" s="133">
        <v>23</v>
      </c>
      <c r="I338" s="133">
        <v>12</v>
      </c>
      <c r="J338" s="134">
        <v>2007</v>
      </c>
      <c r="K338" s="97" t="s">
        <v>56</v>
      </c>
      <c r="L338" s="134">
        <v>2</v>
      </c>
      <c r="M338" s="97" t="s">
        <v>796</v>
      </c>
      <c r="N338" s="186">
        <v>4872</v>
      </c>
      <c r="O338" s="187" t="s">
        <v>998</v>
      </c>
      <c r="Q338" s="245">
        <v>10</v>
      </c>
      <c r="R338" s="30">
        <f t="shared" si="38"/>
        <v>40.591666666666669</v>
      </c>
      <c r="S338" s="5">
        <v>3896.8</v>
      </c>
      <c r="T338" s="313">
        <f t="shared" si="39"/>
        <v>3937.3916666666669</v>
      </c>
      <c r="U338" s="15">
        <f t="shared" si="40"/>
        <v>40.591666666666697</v>
      </c>
      <c r="V338" s="313">
        <f t="shared" si="41"/>
        <v>934.60833333333312</v>
      </c>
      <c r="W338" s="245">
        <v>9257</v>
      </c>
      <c r="X338" s="312"/>
      <c r="Y338" s="313"/>
      <c r="Z338" s="114">
        <f t="shared" si="42"/>
        <v>97</v>
      </c>
    </row>
    <row r="339" spans="1:26" s="245" customFormat="1" x14ac:dyDescent="0.25">
      <c r="A339" s="97" t="s">
        <v>1611</v>
      </c>
      <c r="B339" s="97" t="s">
        <v>1612</v>
      </c>
      <c r="C339" s="97"/>
      <c r="D339" s="97"/>
      <c r="E339" s="97"/>
      <c r="F339" s="97" t="s">
        <v>1613</v>
      </c>
      <c r="G339" s="132" t="str">
        <f t="shared" si="37"/>
        <v>21/12/2007</v>
      </c>
      <c r="H339" s="133">
        <v>21</v>
      </c>
      <c r="I339" s="133">
        <v>12</v>
      </c>
      <c r="J339" s="134">
        <v>2007</v>
      </c>
      <c r="K339" s="97" t="s">
        <v>56</v>
      </c>
      <c r="L339" s="97">
        <v>150028</v>
      </c>
      <c r="M339" s="97" t="s">
        <v>796</v>
      </c>
      <c r="N339" s="186">
        <v>3776.96</v>
      </c>
      <c r="O339" s="186"/>
      <c r="Q339" s="245">
        <v>10</v>
      </c>
      <c r="R339" s="30">
        <f t="shared" si="38"/>
        <v>31.466333333333335</v>
      </c>
      <c r="S339" s="5">
        <v>3020.768</v>
      </c>
      <c r="T339" s="313">
        <f t="shared" si="39"/>
        <v>3052.2343333333333</v>
      </c>
      <c r="U339" s="15">
        <f t="shared" si="40"/>
        <v>31.466333333333296</v>
      </c>
      <c r="V339" s="313">
        <f t="shared" si="41"/>
        <v>724.72566666666671</v>
      </c>
      <c r="W339" s="245">
        <v>10462</v>
      </c>
      <c r="X339" s="312"/>
      <c r="Y339" s="313"/>
      <c r="Z339" s="114">
        <f t="shared" si="42"/>
        <v>97</v>
      </c>
    </row>
    <row r="340" spans="1:26" s="245" customFormat="1" x14ac:dyDescent="0.25">
      <c r="A340" s="97" t="s">
        <v>1614</v>
      </c>
      <c r="B340" s="97" t="s">
        <v>1615</v>
      </c>
      <c r="C340" s="97"/>
      <c r="D340" s="97"/>
      <c r="E340" s="97"/>
      <c r="F340" s="97" t="s">
        <v>1613</v>
      </c>
      <c r="G340" s="132" t="str">
        <f t="shared" si="37"/>
        <v>21/12/2007</v>
      </c>
      <c r="H340" s="133">
        <v>21</v>
      </c>
      <c r="I340" s="133">
        <v>12</v>
      </c>
      <c r="J340" s="134">
        <v>2007</v>
      </c>
      <c r="K340" s="97" t="s">
        <v>56</v>
      </c>
      <c r="L340" s="97">
        <v>150028</v>
      </c>
      <c r="M340" s="97" t="s">
        <v>796</v>
      </c>
      <c r="N340" s="186">
        <v>3470.72</v>
      </c>
      <c r="O340" s="186"/>
      <c r="Q340" s="245">
        <v>10</v>
      </c>
      <c r="R340" s="30">
        <f t="shared" si="38"/>
        <v>28.914333333333332</v>
      </c>
      <c r="S340" s="5">
        <v>2775.7759999999998</v>
      </c>
      <c r="T340" s="313">
        <f t="shared" si="39"/>
        <v>2804.690333333333</v>
      </c>
      <c r="U340" s="15">
        <f t="shared" si="40"/>
        <v>28.914333333333161</v>
      </c>
      <c r="V340" s="313">
        <f t="shared" si="41"/>
        <v>666.0296666666668</v>
      </c>
      <c r="W340" s="245">
        <v>10462</v>
      </c>
      <c r="X340" s="312"/>
      <c r="Y340" s="313"/>
      <c r="Z340" s="114">
        <f t="shared" si="42"/>
        <v>97</v>
      </c>
    </row>
    <row r="341" spans="1:26" s="245" customFormat="1" x14ac:dyDescent="0.25">
      <c r="A341" s="97" t="s">
        <v>1616</v>
      </c>
      <c r="B341" s="97" t="s">
        <v>1617</v>
      </c>
      <c r="C341" s="97"/>
      <c r="D341" s="97"/>
      <c r="E341" s="97"/>
      <c r="F341" s="97" t="s">
        <v>1613</v>
      </c>
      <c r="G341" s="132" t="str">
        <f t="shared" si="37"/>
        <v>21/12/2007</v>
      </c>
      <c r="H341" s="133">
        <v>21</v>
      </c>
      <c r="I341" s="133">
        <v>12</v>
      </c>
      <c r="J341" s="134">
        <v>2007</v>
      </c>
      <c r="K341" s="97" t="s">
        <v>56</v>
      </c>
      <c r="L341" s="97">
        <v>150028</v>
      </c>
      <c r="M341" s="97" t="s">
        <v>796</v>
      </c>
      <c r="N341" s="186">
        <v>3285.12</v>
      </c>
      <c r="O341" s="187"/>
      <c r="Q341" s="245">
        <v>10</v>
      </c>
      <c r="R341" s="30">
        <f t="shared" si="38"/>
        <v>27.367666666666665</v>
      </c>
      <c r="S341" s="5">
        <v>2627.2959999999998</v>
      </c>
      <c r="T341" s="313">
        <f t="shared" si="39"/>
        <v>2654.6636666666664</v>
      </c>
      <c r="U341" s="15">
        <f t="shared" si="40"/>
        <v>27.367666666666537</v>
      </c>
      <c r="V341" s="313">
        <f t="shared" si="41"/>
        <v>630.45633333333353</v>
      </c>
      <c r="W341" s="245">
        <v>10414</v>
      </c>
      <c r="X341" s="312"/>
      <c r="Y341" s="313"/>
      <c r="Z341" s="114">
        <f t="shared" si="42"/>
        <v>97</v>
      </c>
    </row>
    <row r="342" spans="1:26" s="245" customFormat="1" x14ac:dyDescent="0.25">
      <c r="A342" s="97" t="s">
        <v>1618</v>
      </c>
      <c r="B342" s="97" t="s">
        <v>1619</v>
      </c>
      <c r="C342" s="97"/>
      <c r="D342" s="97"/>
      <c r="E342" s="97"/>
      <c r="F342" s="97" t="s">
        <v>1613</v>
      </c>
      <c r="G342" s="132" t="str">
        <f t="shared" si="37"/>
        <v>21/12/2007</v>
      </c>
      <c r="H342" s="133">
        <v>21</v>
      </c>
      <c r="I342" s="133">
        <v>12</v>
      </c>
      <c r="J342" s="134">
        <v>2007</v>
      </c>
      <c r="K342" s="97" t="s">
        <v>56</v>
      </c>
      <c r="L342" s="97">
        <v>150028</v>
      </c>
      <c r="M342" s="97" t="s">
        <v>796</v>
      </c>
      <c r="N342" s="186">
        <v>3285.12</v>
      </c>
      <c r="O342" s="186"/>
      <c r="Q342" s="245">
        <v>10</v>
      </c>
      <c r="R342" s="30">
        <f t="shared" si="38"/>
        <v>27.367666666666665</v>
      </c>
      <c r="S342" s="5">
        <v>2627.2959999999998</v>
      </c>
      <c r="T342" s="313">
        <f t="shared" si="39"/>
        <v>2654.6636666666664</v>
      </c>
      <c r="U342" s="15">
        <f t="shared" si="40"/>
        <v>27.367666666666537</v>
      </c>
      <c r="V342" s="313">
        <f t="shared" si="41"/>
        <v>630.45633333333353</v>
      </c>
      <c r="W342" s="245">
        <v>10462</v>
      </c>
      <c r="X342" s="312"/>
      <c r="Y342" s="313"/>
      <c r="Z342" s="114">
        <f t="shared" si="42"/>
        <v>97</v>
      </c>
    </row>
    <row r="343" spans="1:26" s="245" customFormat="1" x14ac:dyDescent="0.25">
      <c r="A343" s="97" t="s">
        <v>1620</v>
      </c>
      <c r="B343" s="97" t="s">
        <v>1619</v>
      </c>
      <c r="C343" s="97"/>
      <c r="D343" s="97"/>
      <c r="E343" s="97"/>
      <c r="F343" s="97" t="s">
        <v>1613</v>
      </c>
      <c r="G343" s="132" t="str">
        <f t="shared" si="37"/>
        <v>21/12/2007</v>
      </c>
      <c r="H343" s="133">
        <v>21</v>
      </c>
      <c r="I343" s="133">
        <v>12</v>
      </c>
      <c r="J343" s="134">
        <v>2007</v>
      </c>
      <c r="K343" s="97" t="s">
        <v>56</v>
      </c>
      <c r="L343" s="97">
        <v>150028</v>
      </c>
      <c r="M343" s="97" t="s">
        <v>796</v>
      </c>
      <c r="N343" s="186">
        <v>3285.12</v>
      </c>
      <c r="O343" s="186"/>
      <c r="Q343" s="245">
        <v>10</v>
      </c>
      <c r="R343" s="30">
        <f t="shared" si="38"/>
        <v>27.367666666666665</v>
      </c>
      <c r="S343" s="5">
        <v>2627.2959999999998</v>
      </c>
      <c r="T343" s="313">
        <f t="shared" si="39"/>
        <v>2654.6636666666664</v>
      </c>
      <c r="U343" s="15">
        <f t="shared" si="40"/>
        <v>27.367666666666537</v>
      </c>
      <c r="V343" s="313">
        <f t="shared" si="41"/>
        <v>630.45633333333353</v>
      </c>
      <c r="W343" s="245">
        <v>10462</v>
      </c>
      <c r="X343" s="312"/>
      <c r="Y343" s="313"/>
      <c r="Z343" s="114">
        <f t="shared" si="42"/>
        <v>97</v>
      </c>
    </row>
    <row r="344" spans="1:26" s="245" customFormat="1" x14ac:dyDescent="0.25">
      <c r="A344" s="97" t="s">
        <v>1621</v>
      </c>
      <c r="B344" s="97" t="s">
        <v>1619</v>
      </c>
      <c r="C344" s="97"/>
      <c r="D344" s="97"/>
      <c r="E344" s="97"/>
      <c r="F344" s="97" t="s">
        <v>1613</v>
      </c>
      <c r="G344" s="132" t="str">
        <f t="shared" si="37"/>
        <v>21/12/2007</v>
      </c>
      <c r="H344" s="133">
        <v>21</v>
      </c>
      <c r="I344" s="133">
        <v>12</v>
      </c>
      <c r="J344" s="134">
        <v>2007</v>
      </c>
      <c r="K344" s="97" t="s">
        <v>56</v>
      </c>
      <c r="L344" s="97">
        <v>150028</v>
      </c>
      <c r="M344" s="97" t="s">
        <v>796</v>
      </c>
      <c r="N344" s="186">
        <v>3285.12</v>
      </c>
      <c r="O344" s="186"/>
      <c r="Q344" s="245">
        <v>10</v>
      </c>
      <c r="R344" s="30">
        <f t="shared" si="38"/>
        <v>27.367666666666665</v>
      </c>
      <c r="S344" s="5">
        <v>2627.2959999999998</v>
      </c>
      <c r="T344" s="313">
        <f t="shared" si="39"/>
        <v>2654.6636666666664</v>
      </c>
      <c r="U344" s="15">
        <f t="shared" si="40"/>
        <v>27.367666666666537</v>
      </c>
      <c r="V344" s="313">
        <f t="shared" si="41"/>
        <v>630.45633333333353</v>
      </c>
      <c r="W344" s="245">
        <v>10462</v>
      </c>
      <c r="X344" s="312"/>
      <c r="Y344" s="313"/>
      <c r="Z344" s="114">
        <f t="shared" si="42"/>
        <v>97</v>
      </c>
    </row>
    <row r="345" spans="1:26" s="245" customFormat="1" x14ac:dyDescent="0.25">
      <c r="A345" s="97" t="s">
        <v>1622</v>
      </c>
      <c r="B345" s="97" t="s">
        <v>1623</v>
      </c>
      <c r="C345" s="97" t="s">
        <v>1624</v>
      </c>
      <c r="D345" s="97" t="s">
        <v>1625</v>
      </c>
      <c r="E345" s="97"/>
      <c r="F345" s="97" t="s">
        <v>1613</v>
      </c>
      <c r="G345" s="132" t="str">
        <f t="shared" si="37"/>
        <v>20/12/2007</v>
      </c>
      <c r="H345" s="133">
        <v>20</v>
      </c>
      <c r="I345" s="133">
        <v>12</v>
      </c>
      <c r="J345" s="134">
        <v>2007</v>
      </c>
      <c r="K345" s="97" t="s">
        <v>56</v>
      </c>
      <c r="L345" s="97">
        <v>150008</v>
      </c>
      <c r="M345" s="97" t="s">
        <v>796</v>
      </c>
      <c r="N345" s="186">
        <v>5187.5200000000004</v>
      </c>
      <c r="O345" s="187" t="s">
        <v>1626</v>
      </c>
      <c r="Q345" s="245">
        <v>10</v>
      </c>
      <c r="R345" s="30">
        <f t="shared" si="38"/>
        <v>43.221000000000004</v>
      </c>
      <c r="S345" s="5">
        <v>4149.2160000000003</v>
      </c>
      <c r="T345" s="313">
        <f t="shared" si="39"/>
        <v>4192.4369999999999</v>
      </c>
      <c r="U345" s="15">
        <f t="shared" si="40"/>
        <v>43.220999999999549</v>
      </c>
      <c r="V345" s="313">
        <f t="shared" si="41"/>
        <v>995.08300000000054</v>
      </c>
      <c r="W345" s="245">
        <v>10394</v>
      </c>
      <c r="X345" s="312"/>
      <c r="Y345" s="313"/>
      <c r="Z345" s="114">
        <f t="shared" si="42"/>
        <v>97</v>
      </c>
    </row>
    <row r="346" spans="1:26" s="245" customFormat="1" x14ac:dyDescent="0.25">
      <c r="A346" s="97" t="s">
        <v>1627</v>
      </c>
      <c r="B346" s="97" t="s">
        <v>1628</v>
      </c>
      <c r="C346" s="97" t="s">
        <v>1624</v>
      </c>
      <c r="D346" s="97" t="s">
        <v>1629</v>
      </c>
      <c r="E346" s="97"/>
      <c r="F346" s="97" t="s">
        <v>1613</v>
      </c>
      <c r="G346" s="132" t="str">
        <f t="shared" si="37"/>
        <v>20/12/2007</v>
      </c>
      <c r="H346" s="133">
        <v>20</v>
      </c>
      <c r="I346" s="133">
        <v>12</v>
      </c>
      <c r="J346" s="134">
        <v>2007</v>
      </c>
      <c r="K346" s="97" t="s">
        <v>56</v>
      </c>
      <c r="L346" s="97">
        <v>150008</v>
      </c>
      <c r="M346" s="97" t="s">
        <v>796</v>
      </c>
      <c r="N346" s="186">
        <v>3776.96</v>
      </c>
      <c r="O346" s="186"/>
      <c r="Q346" s="245">
        <v>10</v>
      </c>
      <c r="R346" s="30">
        <f t="shared" si="38"/>
        <v>31.466333333333335</v>
      </c>
      <c r="S346" s="5">
        <v>3020.768</v>
      </c>
      <c r="T346" s="313">
        <f t="shared" si="39"/>
        <v>3052.2343333333333</v>
      </c>
      <c r="U346" s="15">
        <f t="shared" si="40"/>
        <v>31.466333333333296</v>
      </c>
      <c r="V346" s="313">
        <f t="shared" si="41"/>
        <v>724.72566666666671</v>
      </c>
      <c r="W346" s="245">
        <v>10394</v>
      </c>
      <c r="X346" s="312"/>
      <c r="Y346" s="313"/>
      <c r="Z346" s="114">
        <f t="shared" si="42"/>
        <v>97</v>
      </c>
    </row>
    <row r="347" spans="1:26" s="245" customFormat="1" x14ac:dyDescent="0.25">
      <c r="A347" s="97" t="s">
        <v>1630</v>
      </c>
      <c r="B347" s="97" t="s">
        <v>1631</v>
      </c>
      <c r="C347" s="97" t="s">
        <v>1624</v>
      </c>
      <c r="D347" s="97" t="s">
        <v>1632</v>
      </c>
      <c r="E347" s="97"/>
      <c r="F347" s="97" t="s">
        <v>1613</v>
      </c>
      <c r="G347" s="132" t="str">
        <f t="shared" si="37"/>
        <v>20/12/2007</v>
      </c>
      <c r="H347" s="133">
        <v>20</v>
      </c>
      <c r="I347" s="133">
        <v>12</v>
      </c>
      <c r="J347" s="134">
        <v>2007</v>
      </c>
      <c r="K347" s="97" t="s">
        <v>56</v>
      </c>
      <c r="L347" s="97">
        <v>150008</v>
      </c>
      <c r="M347" s="97" t="s">
        <v>796</v>
      </c>
      <c r="N347" s="186">
        <v>6820.8</v>
      </c>
      <c r="O347" s="186"/>
      <c r="Q347" s="245">
        <v>10</v>
      </c>
      <c r="R347" s="30">
        <f t="shared" si="38"/>
        <v>56.831666666666671</v>
      </c>
      <c r="S347" s="5">
        <v>5455.84</v>
      </c>
      <c r="T347" s="313">
        <f t="shared" si="39"/>
        <v>5512.6716666666671</v>
      </c>
      <c r="U347" s="15">
        <f t="shared" si="40"/>
        <v>56.831666666666933</v>
      </c>
      <c r="V347" s="313">
        <f t="shared" si="41"/>
        <v>1308.1283333333331</v>
      </c>
      <c r="W347" s="245">
        <v>10394</v>
      </c>
      <c r="X347" s="312"/>
      <c r="Y347" s="313"/>
      <c r="Z347" s="114">
        <f t="shared" si="42"/>
        <v>97</v>
      </c>
    </row>
    <row r="348" spans="1:26" s="245" customFormat="1" x14ac:dyDescent="0.25">
      <c r="A348" s="97" t="s">
        <v>1633</v>
      </c>
      <c r="B348" s="97" t="s">
        <v>2858</v>
      </c>
      <c r="C348" s="97" t="s">
        <v>1624</v>
      </c>
      <c r="D348" s="97" t="s">
        <v>1634</v>
      </c>
      <c r="E348" s="97"/>
      <c r="F348" s="97" t="s">
        <v>1613</v>
      </c>
      <c r="G348" s="132" t="str">
        <f t="shared" si="37"/>
        <v>20/12/2007</v>
      </c>
      <c r="H348" s="133">
        <v>20</v>
      </c>
      <c r="I348" s="133">
        <v>12</v>
      </c>
      <c r="J348" s="134">
        <v>2007</v>
      </c>
      <c r="K348" s="97" t="s">
        <v>56</v>
      </c>
      <c r="L348" s="97">
        <v>150008</v>
      </c>
      <c r="M348" s="97" t="s">
        <v>796</v>
      </c>
      <c r="N348" s="186">
        <v>1299.2</v>
      </c>
      <c r="O348" s="186"/>
      <c r="Q348" s="245">
        <v>10</v>
      </c>
      <c r="R348" s="30">
        <f t="shared" si="38"/>
        <v>10.818333333333333</v>
      </c>
      <c r="S348" s="5">
        <v>1038.56</v>
      </c>
      <c r="T348" s="313">
        <f t="shared" si="39"/>
        <v>1049.3783333333333</v>
      </c>
      <c r="U348" s="15">
        <f t="shared" si="40"/>
        <v>10.818333333333385</v>
      </c>
      <c r="V348" s="313">
        <f t="shared" si="41"/>
        <v>249.82166666666672</v>
      </c>
      <c r="W348" s="245">
        <v>10394</v>
      </c>
      <c r="X348" s="312"/>
      <c r="Y348" s="313"/>
      <c r="Z348" s="114">
        <f t="shared" si="42"/>
        <v>97</v>
      </c>
    </row>
    <row r="349" spans="1:26" s="245" customFormat="1" x14ac:dyDescent="0.25">
      <c r="A349" s="97" t="s">
        <v>1635</v>
      </c>
      <c r="B349" s="97" t="s">
        <v>1636</v>
      </c>
      <c r="C349" s="97" t="s">
        <v>1624</v>
      </c>
      <c r="D349" s="97"/>
      <c r="E349" s="97"/>
      <c r="F349" s="97" t="s">
        <v>1613</v>
      </c>
      <c r="G349" s="132" t="str">
        <f t="shared" si="37"/>
        <v>20/12/2007</v>
      </c>
      <c r="H349" s="133">
        <v>20</v>
      </c>
      <c r="I349" s="133">
        <v>12</v>
      </c>
      <c r="J349" s="134">
        <v>2007</v>
      </c>
      <c r="K349" s="97" t="s">
        <v>56</v>
      </c>
      <c r="L349" s="97">
        <v>150008</v>
      </c>
      <c r="M349" s="97" t="s">
        <v>796</v>
      </c>
      <c r="N349" s="186">
        <v>580</v>
      </c>
      <c r="O349" s="186"/>
      <c r="Q349" s="245">
        <v>10</v>
      </c>
      <c r="R349" s="30">
        <f t="shared" si="38"/>
        <v>4.8250000000000002</v>
      </c>
      <c r="S349" s="5">
        <v>463.20000000000005</v>
      </c>
      <c r="T349" s="313">
        <f t="shared" si="39"/>
        <v>468.02500000000003</v>
      </c>
      <c r="U349" s="15">
        <f t="shared" si="40"/>
        <v>4.8249999999999886</v>
      </c>
      <c r="V349" s="313">
        <f t="shared" si="41"/>
        <v>111.97499999999997</v>
      </c>
      <c r="W349" s="245">
        <v>10394</v>
      </c>
      <c r="X349" s="312"/>
      <c r="Y349" s="313"/>
      <c r="Z349" s="114">
        <f t="shared" si="42"/>
        <v>97</v>
      </c>
    </row>
    <row r="350" spans="1:26" s="245" customFormat="1" x14ac:dyDescent="0.25">
      <c r="A350" s="97" t="s">
        <v>1637</v>
      </c>
      <c r="B350" s="97" t="s">
        <v>1638</v>
      </c>
      <c r="C350" s="97" t="s">
        <v>1624</v>
      </c>
      <c r="D350" s="97" t="s">
        <v>1639</v>
      </c>
      <c r="E350" s="97"/>
      <c r="F350" s="97" t="s">
        <v>1613</v>
      </c>
      <c r="G350" s="132" t="str">
        <f t="shared" si="37"/>
        <v>20/12/2007</v>
      </c>
      <c r="H350" s="133">
        <v>20</v>
      </c>
      <c r="I350" s="133">
        <v>12</v>
      </c>
      <c r="J350" s="134">
        <v>2007</v>
      </c>
      <c r="K350" s="97" t="s">
        <v>56</v>
      </c>
      <c r="L350" s="97">
        <v>150008</v>
      </c>
      <c r="M350" s="97" t="s">
        <v>796</v>
      </c>
      <c r="N350" s="186">
        <v>779.52</v>
      </c>
      <c r="O350" s="186"/>
      <c r="Q350" s="245">
        <v>10</v>
      </c>
      <c r="R350" s="30">
        <f t="shared" si="38"/>
        <v>6.4876666666666667</v>
      </c>
      <c r="S350" s="5">
        <v>622.81600000000003</v>
      </c>
      <c r="T350" s="313">
        <f t="shared" si="39"/>
        <v>629.30366666666669</v>
      </c>
      <c r="U350" s="15">
        <f t="shared" si="40"/>
        <v>6.4876666666666551</v>
      </c>
      <c r="V350" s="313">
        <f t="shared" si="41"/>
        <v>150.2163333333333</v>
      </c>
      <c r="W350" s="245">
        <v>10394</v>
      </c>
      <c r="X350" s="312"/>
      <c r="Y350" s="313"/>
      <c r="Z350" s="114">
        <f t="shared" si="42"/>
        <v>97</v>
      </c>
    </row>
    <row r="351" spans="1:26" s="318" customFormat="1" x14ac:dyDescent="0.25">
      <c r="A351" s="148" t="s">
        <v>1640</v>
      </c>
      <c r="B351" s="148" t="s">
        <v>1641</v>
      </c>
      <c r="C351" s="148" t="s">
        <v>1642</v>
      </c>
      <c r="D351" s="148" t="s">
        <v>1643</v>
      </c>
      <c r="E351" s="148"/>
      <c r="F351" s="148" t="s">
        <v>1644</v>
      </c>
      <c r="G351" s="149" t="str">
        <f t="shared" si="37"/>
        <v>28/9/2007</v>
      </c>
      <c r="H351" s="150">
        <v>28</v>
      </c>
      <c r="I351" s="150">
        <v>9</v>
      </c>
      <c r="J351" s="151">
        <v>2007</v>
      </c>
      <c r="K351" s="148" t="s">
        <v>56</v>
      </c>
      <c r="L351" s="148">
        <v>1791</v>
      </c>
      <c r="M351" s="148" t="s">
        <v>796</v>
      </c>
      <c r="N351" s="17">
        <v>34800</v>
      </c>
      <c r="O351" s="563" t="s">
        <v>1645</v>
      </c>
      <c r="Q351" s="318">
        <v>10</v>
      </c>
      <c r="R351" s="18">
        <f t="shared" si="38"/>
        <v>289.99166666666667</v>
      </c>
      <c r="S351" s="5">
        <v>28709.174999999999</v>
      </c>
      <c r="T351" s="319">
        <f t="shared" si="39"/>
        <v>28999.166666666668</v>
      </c>
      <c r="U351" s="555">
        <f t="shared" si="40"/>
        <v>289.99166666666861</v>
      </c>
      <c r="V351" s="319">
        <f t="shared" si="41"/>
        <v>5800.8333333333321</v>
      </c>
      <c r="W351" s="318">
        <v>10046</v>
      </c>
      <c r="X351" s="320"/>
      <c r="Y351" s="319"/>
      <c r="Z351" s="155">
        <f t="shared" si="42"/>
        <v>100</v>
      </c>
    </row>
    <row r="352" spans="1:26" s="245" customFormat="1" x14ac:dyDescent="0.25">
      <c r="A352" s="97" t="s">
        <v>1646</v>
      </c>
      <c r="B352" s="97" t="s">
        <v>1641</v>
      </c>
      <c r="C352" s="97" t="s">
        <v>1647</v>
      </c>
      <c r="D352" s="97">
        <v>2360</v>
      </c>
      <c r="E352" s="97"/>
      <c r="F352" s="97" t="s">
        <v>1644</v>
      </c>
      <c r="G352" s="132" t="str">
        <f t="shared" si="37"/>
        <v>28/9/2007</v>
      </c>
      <c r="H352" s="133">
        <v>28</v>
      </c>
      <c r="I352" s="133">
        <v>9</v>
      </c>
      <c r="J352" s="134">
        <v>2007</v>
      </c>
      <c r="K352" s="97" t="s">
        <v>56</v>
      </c>
      <c r="L352" s="97">
        <v>1791</v>
      </c>
      <c r="M352" s="97" t="s">
        <v>796</v>
      </c>
      <c r="N352" s="186">
        <v>34800</v>
      </c>
      <c r="O352" s="186"/>
      <c r="Q352" s="245">
        <v>10</v>
      </c>
      <c r="R352" s="30">
        <f t="shared" si="38"/>
        <v>289.99166666666667</v>
      </c>
      <c r="S352" s="5">
        <v>28709.174999999999</v>
      </c>
      <c r="T352" s="313">
        <f t="shared" si="39"/>
        <v>28999.166666666668</v>
      </c>
      <c r="U352" s="15">
        <f t="shared" si="40"/>
        <v>289.99166666666861</v>
      </c>
      <c r="V352" s="313">
        <f t="shared" si="41"/>
        <v>5800.8333333333321</v>
      </c>
      <c r="W352" s="245">
        <v>10046</v>
      </c>
      <c r="X352" s="312"/>
      <c r="Y352" s="313"/>
      <c r="Z352" s="114">
        <f t="shared" si="42"/>
        <v>100</v>
      </c>
    </row>
    <row r="353" spans="1:26" s="245" customFormat="1" x14ac:dyDescent="0.25">
      <c r="A353" s="97" t="s">
        <v>1648</v>
      </c>
      <c r="B353" s="97" t="s">
        <v>1649</v>
      </c>
      <c r="C353" s="97" t="s">
        <v>1650</v>
      </c>
      <c r="D353" s="97"/>
      <c r="E353" s="97" t="s">
        <v>1651</v>
      </c>
      <c r="F353" s="97" t="s">
        <v>1652</v>
      </c>
      <c r="G353" s="132" t="str">
        <f t="shared" si="37"/>
        <v>17/12/2007</v>
      </c>
      <c r="H353" s="133">
        <v>17</v>
      </c>
      <c r="I353" s="133">
        <v>12</v>
      </c>
      <c r="J353" s="134">
        <v>2007</v>
      </c>
      <c r="K353" s="97" t="s">
        <v>56</v>
      </c>
      <c r="L353" s="97">
        <v>8042</v>
      </c>
      <c r="M353" s="97" t="s">
        <v>796</v>
      </c>
      <c r="N353" s="186">
        <v>11557.5</v>
      </c>
      <c r="O353" s="186" t="s">
        <v>1008</v>
      </c>
      <c r="Q353" s="245">
        <v>10</v>
      </c>
      <c r="R353" s="30">
        <f t="shared" si="38"/>
        <v>96.304166666666674</v>
      </c>
      <c r="S353" s="5">
        <v>9245.2000000000007</v>
      </c>
      <c r="T353" s="313">
        <f t="shared" si="39"/>
        <v>9341.5041666666675</v>
      </c>
      <c r="U353" s="15">
        <f t="shared" si="40"/>
        <v>96.304166666666788</v>
      </c>
      <c r="V353" s="313">
        <f t="shared" si="41"/>
        <v>2215.9958333333325</v>
      </c>
      <c r="W353" s="245">
        <v>10429</v>
      </c>
      <c r="X353" s="312"/>
      <c r="Y353" s="313"/>
      <c r="Z353" s="114">
        <f t="shared" si="42"/>
        <v>97</v>
      </c>
    </row>
    <row r="354" spans="1:26" s="245" customFormat="1" x14ac:dyDescent="0.25">
      <c r="A354" s="172" t="s">
        <v>1653</v>
      </c>
      <c r="B354" s="172" t="s">
        <v>1654</v>
      </c>
      <c r="C354" s="172" t="s">
        <v>1655</v>
      </c>
      <c r="D354" s="172"/>
      <c r="E354" s="172"/>
      <c r="F354" s="172" t="s">
        <v>1652</v>
      </c>
      <c r="G354" s="173" t="str">
        <f t="shared" si="37"/>
        <v>17/12/2007</v>
      </c>
      <c r="H354" s="174">
        <v>17</v>
      </c>
      <c r="I354" s="174">
        <v>12</v>
      </c>
      <c r="J354" s="175">
        <v>2007</v>
      </c>
      <c r="K354" s="172" t="s">
        <v>56</v>
      </c>
      <c r="L354" s="172">
        <v>8042</v>
      </c>
      <c r="M354" s="172" t="s">
        <v>796</v>
      </c>
      <c r="N354" s="188">
        <v>4187.5</v>
      </c>
      <c r="O354" s="186"/>
      <c r="Q354" s="334">
        <v>10</v>
      </c>
      <c r="R354" s="178">
        <f t="shared" si="38"/>
        <v>34.887499999999996</v>
      </c>
      <c r="S354" s="5">
        <v>3349.2</v>
      </c>
      <c r="T354" s="335">
        <f t="shared" si="39"/>
        <v>3384.0874999999996</v>
      </c>
      <c r="U354" s="15">
        <f t="shared" si="40"/>
        <v>34.887499999999818</v>
      </c>
      <c r="V354" s="335">
        <f t="shared" si="41"/>
        <v>803.41250000000036</v>
      </c>
      <c r="W354" s="334">
        <v>10429</v>
      </c>
      <c r="X354" s="312"/>
      <c r="Y354" s="313"/>
      <c r="Z354" s="114">
        <f t="shared" si="42"/>
        <v>97</v>
      </c>
    </row>
    <row r="355" spans="1:26" s="245" customFormat="1" x14ac:dyDescent="0.25">
      <c r="A355" s="97" t="s">
        <v>1656</v>
      </c>
      <c r="B355" s="97" t="s">
        <v>1657</v>
      </c>
      <c r="C355" s="97" t="s">
        <v>1658</v>
      </c>
      <c r="D355" s="97"/>
      <c r="E355" s="97"/>
      <c r="F355" s="97" t="s">
        <v>1652</v>
      </c>
      <c r="G355" s="132" t="str">
        <f t="shared" si="37"/>
        <v>15/8/2007</v>
      </c>
      <c r="H355" s="133">
        <v>15</v>
      </c>
      <c r="I355" s="133">
        <v>8</v>
      </c>
      <c r="J355" s="134">
        <v>2007</v>
      </c>
      <c r="K355" s="97" t="s">
        <v>56</v>
      </c>
      <c r="L355" s="97">
        <v>58597</v>
      </c>
      <c r="M355" s="97" t="s">
        <v>796</v>
      </c>
      <c r="N355" s="186">
        <v>9700</v>
      </c>
      <c r="O355" s="186" t="s">
        <v>1659</v>
      </c>
      <c r="Q355" s="245">
        <v>10</v>
      </c>
      <c r="R355" s="30">
        <f t="shared" si="38"/>
        <v>80.825000000000003</v>
      </c>
      <c r="S355" s="5">
        <v>8082.5</v>
      </c>
      <c r="T355" s="313">
        <f t="shared" si="39"/>
        <v>8163.3250000000007</v>
      </c>
      <c r="U355" s="15">
        <f t="shared" si="40"/>
        <v>80.825000000000728</v>
      </c>
      <c r="V355" s="313">
        <f t="shared" si="41"/>
        <v>1536.6749999999993</v>
      </c>
      <c r="W355" s="245">
        <v>9901</v>
      </c>
      <c r="X355" s="312"/>
      <c r="Y355" s="313"/>
      <c r="Z355" s="114">
        <f t="shared" si="42"/>
        <v>101</v>
      </c>
    </row>
    <row r="356" spans="1:26" s="245" customFormat="1" x14ac:dyDescent="0.25">
      <c r="A356" s="97" t="s">
        <v>1660</v>
      </c>
      <c r="B356" s="97" t="s">
        <v>1661</v>
      </c>
      <c r="C356" s="97" t="s">
        <v>1662</v>
      </c>
      <c r="D356" s="97"/>
      <c r="E356" s="97"/>
      <c r="F356" s="97" t="s">
        <v>1652</v>
      </c>
      <c r="G356" s="132" t="str">
        <f t="shared" si="37"/>
        <v>15/8/2007</v>
      </c>
      <c r="H356" s="133">
        <v>15</v>
      </c>
      <c r="I356" s="133">
        <v>8</v>
      </c>
      <c r="J356" s="134">
        <v>2007</v>
      </c>
      <c r="K356" s="97" t="s">
        <v>56</v>
      </c>
      <c r="L356" s="97">
        <v>58597</v>
      </c>
      <c r="M356" s="97" t="s">
        <v>796</v>
      </c>
      <c r="N356" s="186">
        <v>8050</v>
      </c>
      <c r="O356" s="187" t="s">
        <v>1564</v>
      </c>
      <c r="Q356" s="245">
        <v>10</v>
      </c>
      <c r="R356" s="30">
        <f t="shared" si="38"/>
        <v>67.075000000000003</v>
      </c>
      <c r="S356" s="5">
        <v>6707.5</v>
      </c>
      <c r="T356" s="313">
        <f t="shared" si="39"/>
        <v>6774.5750000000007</v>
      </c>
      <c r="U356" s="15">
        <f t="shared" si="40"/>
        <v>67.075000000000728</v>
      </c>
      <c r="V356" s="313">
        <f t="shared" si="41"/>
        <v>1275.4249999999993</v>
      </c>
      <c r="W356" s="245">
        <v>9901</v>
      </c>
      <c r="X356" s="312"/>
      <c r="Y356" s="313"/>
      <c r="Z356" s="114">
        <f t="shared" si="42"/>
        <v>101</v>
      </c>
    </row>
    <row r="357" spans="1:26" s="245" customFormat="1" x14ac:dyDescent="0.25">
      <c r="A357" s="97" t="s">
        <v>1663</v>
      </c>
      <c r="B357" s="97" t="s">
        <v>1664</v>
      </c>
      <c r="C357" s="138" t="s">
        <v>1665</v>
      </c>
      <c r="D357" s="138"/>
      <c r="E357" s="97"/>
      <c r="F357" s="97" t="s">
        <v>1652</v>
      </c>
      <c r="G357" s="132" t="str">
        <f t="shared" si="37"/>
        <v>15/8/2007</v>
      </c>
      <c r="H357" s="133">
        <v>15</v>
      </c>
      <c r="I357" s="133">
        <v>8</v>
      </c>
      <c r="J357" s="134">
        <v>2007</v>
      </c>
      <c r="K357" s="97" t="s">
        <v>56</v>
      </c>
      <c r="L357" s="97">
        <v>58597</v>
      </c>
      <c r="M357" s="97" t="s">
        <v>796</v>
      </c>
      <c r="N357" s="186">
        <v>6880</v>
      </c>
      <c r="O357" s="187" t="s">
        <v>1666</v>
      </c>
      <c r="Q357" s="245">
        <v>10</v>
      </c>
      <c r="R357" s="30">
        <f t="shared" si="38"/>
        <v>57.324999999999996</v>
      </c>
      <c r="S357" s="5">
        <v>5732.5</v>
      </c>
      <c r="T357" s="313">
        <f t="shared" si="39"/>
        <v>5789.8249999999998</v>
      </c>
      <c r="U357" s="15">
        <f t="shared" si="40"/>
        <v>57.324999999999818</v>
      </c>
      <c r="V357" s="313">
        <f t="shared" si="41"/>
        <v>1090.1750000000002</v>
      </c>
      <c r="W357" s="245">
        <v>9901</v>
      </c>
      <c r="X357" s="312"/>
      <c r="Y357" s="313"/>
      <c r="Z357" s="114">
        <f t="shared" si="42"/>
        <v>101</v>
      </c>
    </row>
    <row r="358" spans="1:26" s="245" customFormat="1" x14ac:dyDescent="0.25">
      <c r="A358" s="97" t="s">
        <v>1667</v>
      </c>
      <c r="B358" s="97" t="s">
        <v>1668</v>
      </c>
      <c r="C358" s="97" t="s">
        <v>1669</v>
      </c>
      <c r="D358" s="97"/>
      <c r="E358" s="97"/>
      <c r="F358" s="97" t="s">
        <v>1652</v>
      </c>
      <c r="G358" s="132" t="str">
        <f t="shared" si="37"/>
        <v>15/8/2007</v>
      </c>
      <c r="H358" s="133">
        <v>15</v>
      </c>
      <c r="I358" s="133">
        <v>8</v>
      </c>
      <c r="J358" s="134">
        <v>2007</v>
      </c>
      <c r="K358" s="97" t="s">
        <v>56</v>
      </c>
      <c r="L358" s="97">
        <v>58597</v>
      </c>
      <c r="M358" s="97" t="s">
        <v>796</v>
      </c>
      <c r="N358" s="186">
        <v>3770</v>
      </c>
      <c r="O358" s="186"/>
      <c r="Q358" s="245">
        <v>10</v>
      </c>
      <c r="R358" s="30">
        <f t="shared" si="38"/>
        <v>31.408333333333331</v>
      </c>
      <c r="S358" s="5">
        <v>3140.833333333333</v>
      </c>
      <c r="T358" s="313">
        <f t="shared" si="39"/>
        <v>3172.2416666666663</v>
      </c>
      <c r="U358" s="15">
        <f t="shared" si="40"/>
        <v>31.408333333333303</v>
      </c>
      <c r="V358" s="313">
        <f t="shared" si="41"/>
        <v>597.75833333333367</v>
      </c>
      <c r="W358" s="245">
        <v>9901</v>
      </c>
      <c r="X358" s="312"/>
      <c r="Y358" s="313"/>
      <c r="Z358" s="114">
        <f t="shared" si="42"/>
        <v>101</v>
      </c>
    </row>
    <row r="359" spans="1:26" s="245" customFormat="1" x14ac:dyDescent="0.25">
      <c r="A359" s="97" t="s">
        <v>1670</v>
      </c>
      <c r="B359" s="97" t="s">
        <v>1671</v>
      </c>
      <c r="C359" s="97"/>
      <c r="D359" s="97"/>
      <c r="E359" s="97"/>
      <c r="F359" s="97" t="s">
        <v>1672</v>
      </c>
      <c r="G359" s="132" t="str">
        <f t="shared" si="37"/>
        <v>19/3/2007</v>
      </c>
      <c r="H359" s="133">
        <v>19</v>
      </c>
      <c r="I359" s="133">
        <v>3</v>
      </c>
      <c r="J359" s="134">
        <v>2007</v>
      </c>
      <c r="K359" s="97" t="s">
        <v>56</v>
      </c>
      <c r="L359" s="97">
        <v>12</v>
      </c>
      <c r="M359" s="97" t="s">
        <v>796</v>
      </c>
      <c r="N359" s="186">
        <v>5336</v>
      </c>
      <c r="O359" s="186"/>
      <c r="Q359" s="245">
        <v>10</v>
      </c>
      <c r="R359" s="30">
        <f t="shared" si="38"/>
        <v>44.458333333333336</v>
      </c>
      <c r="S359" s="5">
        <v>4668.125</v>
      </c>
      <c r="T359" s="313">
        <f t="shared" si="39"/>
        <v>4712.5833333333339</v>
      </c>
      <c r="U359" s="15">
        <f t="shared" si="40"/>
        <v>44.45833333333394</v>
      </c>
      <c r="V359" s="313">
        <f t="shared" si="41"/>
        <v>623.41666666666606</v>
      </c>
      <c r="W359" s="245">
        <v>9493</v>
      </c>
      <c r="X359" s="312"/>
      <c r="Y359" s="313"/>
      <c r="Z359" s="114">
        <f t="shared" si="42"/>
        <v>106</v>
      </c>
    </row>
    <row r="360" spans="1:26" s="245" customFormat="1" x14ac:dyDescent="0.25">
      <c r="A360" s="97" t="s">
        <v>1673</v>
      </c>
      <c r="B360" s="97" t="s">
        <v>1674</v>
      </c>
      <c r="C360" s="97"/>
      <c r="D360" s="97"/>
      <c r="E360" s="97"/>
      <c r="F360" s="97" t="s">
        <v>1672</v>
      </c>
      <c r="G360" s="132" t="str">
        <f t="shared" si="37"/>
        <v>19/3/2007</v>
      </c>
      <c r="H360" s="133">
        <v>19</v>
      </c>
      <c r="I360" s="133">
        <v>3</v>
      </c>
      <c r="J360" s="134">
        <v>2007</v>
      </c>
      <c r="K360" s="97" t="s">
        <v>56</v>
      </c>
      <c r="L360" s="97">
        <v>12</v>
      </c>
      <c r="M360" s="97" t="s">
        <v>796</v>
      </c>
      <c r="N360" s="186">
        <v>4176</v>
      </c>
      <c r="O360" s="186"/>
      <c r="Q360" s="245">
        <v>10</v>
      </c>
      <c r="R360" s="30">
        <f t="shared" si="38"/>
        <v>34.791666666666664</v>
      </c>
      <c r="S360" s="5">
        <v>3653.1249999999995</v>
      </c>
      <c r="T360" s="313">
        <f t="shared" si="39"/>
        <v>3687.9166666666665</v>
      </c>
      <c r="U360" s="15">
        <f t="shared" si="40"/>
        <v>34.79166666666697</v>
      </c>
      <c r="V360" s="313">
        <f t="shared" si="41"/>
        <v>488.08333333333348</v>
      </c>
      <c r="W360" s="245">
        <v>9493</v>
      </c>
      <c r="X360" s="312"/>
      <c r="Y360" s="313"/>
      <c r="Z360" s="114">
        <f t="shared" si="42"/>
        <v>106</v>
      </c>
    </row>
    <row r="361" spans="1:26" s="245" customFormat="1" x14ac:dyDescent="0.25">
      <c r="A361" s="97" t="s">
        <v>1675</v>
      </c>
      <c r="B361" s="97" t="s">
        <v>1676</v>
      </c>
      <c r="C361" s="97" t="s">
        <v>1677</v>
      </c>
      <c r="D361" s="97" t="s">
        <v>1678</v>
      </c>
      <c r="E361" s="97"/>
      <c r="F361" s="97" t="s">
        <v>1679</v>
      </c>
      <c r="G361" s="132" t="str">
        <f t="shared" si="37"/>
        <v>4/7/2007</v>
      </c>
      <c r="H361" s="133">
        <v>4</v>
      </c>
      <c r="I361" s="133">
        <v>7</v>
      </c>
      <c r="J361" s="134">
        <v>2007</v>
      </c>
      <c r="K361" s="97" t="s">
        <v>56</v>
      </c>
      <c r="L361" s="97" t="s">
        <v>1680</v>
      </c>
      <c r="M361" s="97" t="s">
        <v>796</v>
      </c>
      <c r="N361" s="186">
        <v>22878.61</v>
      </c>
      <c r="O361" s="187" t="s">
        <v>1681</v>
      </c>
      <c r="Q361" s="245">
        <v>10</v>
      </c>
      <c r="R361" s="30">
        <f t="shared" si="38"/>
        <v>190.64675</v>
      </c>
      <c r="S361" s="5">
        <v>19255.321749999999</v>
      </c>
      <c r="T361" s="313">
        <f t="shared" si="39"/>
        <v>19445.968499999999</v>
      </c>
      <c r="U361" s="15">
        <f t="shared" si="40"/>
        <v>190.64674999999988</v>
      </c>
      <c r="V361" s="313">
        <f t="shared" si="41"/>
        <v>3432.6415000000015</v>
      </c>
      <c r="W361" s="245">
        <v>9777</v>
      </c>
      <c r="X361" s="312"/>
      <c r="Y361" s="313"/>
      <c r="Z361" s="114">
        <f t="shared" si="42"/>
        <v>102</v>
      </c>
    </row>
    <row r="362" spans="1:26" s="245" customFormat="1" x14ac:dyDescent="0.25">
      <c r="A362" s="97" t="s">
        <v>1682</v>
      </c>
      <c r="B362" s="97" t="s">
        <v>1683</v>
      </c>
      <c r="C362" s="97" t="s">
        <v>1684</v>
      </c>
      <c r="D362" s="97" t="s">
        <v>1685</v>
      </c>
      <c r="E362" s="97"/>
      <c r="F362" s="97" t="s">
        <v>1679</v>
      </c>
      <c r="G362" s="132" t="str">
        <f t="shared" si="37"/>
        <v>10/4/2007</v>
      </c>
      <c r="H362" s="133">
        <v>10</v>
      </c>
      <c r="I362" s="133">
        <v>4</v>
      </c>
      <c r="J362" s="134">
        <v>2007</v>
      </c>
      <c r="K362" s="97" t="s">
        <v>56</v>
      </c>
      <c r="L362" s="97">
        <v>755830</v>
      </c>
      <c r="M362" s="97" t="s">
        <v>796</v>
      </c>
      <c r="N362" s="186">
        <v>38767.32</v>
      </c>
      <c r="O362" s="187" t="s">
        <v>1564</v>
      </c>
      <c r="Q362" s="245">
        <v>10</v>
      </c>
      <c r="R362" s="30">
        <f t="shared" si="38"/>
        <v>323.05266666666665</v>
      </c>
      <c r="S362" s="5">
        <v>33597.477333333329</v>
      </c>
      <c r="T362" s="313">
        <f t="shared" si="39"/>
        <v>33920.53</v>
      </c>
      <c r="U362" s="15">
        <f t="shared" si="40"/>
        <v>323.05266666667012</v>
      </c>
      <c r="V362" s="313">
        <f t="shared" si="41"/>
        <v>4846.7900000000009</v>
      </c>
      <c r="W362" s="245">
        <v>9897</v>
      </c>
      <c r="X362" s="312"/>
      <c r="Y362" s="313"/>
      <c r="Z362" s="114">
        <f t="shared" si="42"/>
        <v>105</v>
      </c>
    </row>
    <row r="363" spans="1:26" s="245" customFormat="1" x14ac:dyDescent="0.25">
      <c r="A363" s="97" t="s">
        <v>1686</v>
      </c>
      <c r="B363" s="97" t="s">
        <v>1687</v>
      </c>
      <c r="C363" s="97"/>
      <c r="D363" s="97"/>
      <c r="E363" s="97"/>
      <c r="F363" s="97" t="s">
        <v>1679</v>
      </c>
      <c r="G363" s="132" t="str">
        <f t="shared" si="37"/>
        <v>10/4/2007</v>
      </c>
      <c r="H363" s="133">
        <v>10</v>
      </c>
      <c r="I363" s="133">
        <v>4</v>
      </c>
      <c r="J363" s="134">
        <v>2007</v>
      </c>
      <c r="K363" s="97" t="s">
        <v>56</v>
      </c>
      <c r="L363" s="97">
        <v>755830</v>
      </c>
      <c r="M363" s="97" t="s">
        <v>796</v>
      </c>
      <c r="N363" s="186">
        <v>9950.06</v>
      </c>
      <c r="O363" s="187" t="s">
        <v>1365</v>
      </c>
      <c r="Q363" s="245">
        <v>10</v>
      </c>
      <c r="R363" s="30">
        <f t="shared" si="38"/>
        <v>82.908833333333334</v>
      </c>
      <c r="S363" s="5">
        <v>8622.5186666666668</v>
      </c>
      <c r="T363" s="313">
        <f t="shared" si="39"/>
        <v>8705.4274999999998</v>
      </c>
      <c r="U363" s="15">
        <f t="shared" si="40"/>
        <v>82.90883333333295</v>
      </c>
      <c r="V363" s="313">
        <f t="shared" si="41"/>
        <v>1244.6324999999997</v>
      </c>
      <c r="W363" s="245">
        <v>9897</v>
      </c>
      <c r="X363" s="312"/>
      <c r="Y363" s="313"/>
      <c r="Z363" s="114">
        <f t="shared" si="42"/>
        <v>105</v>
      </c>
    </row>
    <row r="364" spans="1:26" s="245" customFormat="1" x14ac:dyDescent="0.25">
      <c r="A364" s="97" t="s">
        <v>1688</v>
      </c>
      <c r="B364" s="97" t="s">
        <v>1687</v>
      </c>
      <c r="C364" s="97"/>
      <c r="D364" s="97"/>
      <c r="E364" s="97"/>
      <c r="F364" s="97" t="s">
        <v>1679</v>
      </c>
      <c r="G364" s="132" t="str">
        <f t="shared" si="37"/>
        <v>10/4/2007</v>
      </c>
      <c r="H364" s="133">
        <v>10</v>
      </c>
      <c r="I364" s="133">
        <v>4</v>
      </c>
      <c r="J364" s="134">
        <v>2007</v>
      </c>
      <c r="K364" s="97" t="s">
        <v>56</v>
      </c>
      <c r="L364" s="97">
        <v>755830</v>
      </c>
      <c r="M364" s="97" t="s">
        <v>796</v>
      </c>
      <c r="N364" s="186">
        <v>9950.06</v>
      </c>
      <c r="O364" s="187" t="s">
        <v>1564</v>
      </c>
      <c r="Q364" s="245">
        <v>10</v>
      </c>
      <c r="R364" s="30">
        <f t="shared" si="38"/>
        <v>82.908833333333334</v>
      </c>
      <c r="S364" s="5">
        <v>8622.5186666666668</v>
      </c>
      <c r="T364" s="313">
        <f t="shared" si="39"/>
        <v>8705.4274999999998</v>
      </c>
      <c r="U364" s="15">
        <f t="shared" si="40"/>
        <v>82.90883333333295</v>
      </c>
      <c r="V364" s="313">
        <f t="shared" si="41"/>
        <v>1244.6324999999997</v>
      </c>
      <c r="W364" s="245">
        <v>9897</v>
      </c>
      <c r="X364" s="312"/>
      <c r="Y364" s="313"/>
      <c r="Z364" s="114">
        <f t="shared" si="42"/>
        <v>105</v>
      </c>
    </row>
    <row r="365" spans="1:26" s="318" customFormat="1" x14ac:dyDescent="0.25">
      <c r="A365" s="97" t="s">
        <v>1689</v>
      </c>
      <c r="B365" s="97" t="s">
        <v>1690</v>
      </c>
      <c r="C365" s="97"/>
      <c r="D365" s="97" t="s">
        <v>1691</v>
      </c>
      <c r="E365" s="97"/>
      <c r="F365" s="97" t="s">
        <v>1679</v>
      </c>
      <c r="G365" s="132" t="str">
        <f t="shared" si="37"/>
        <v>10/4/2007</v>
      </c>
      <c r="H365" s="133">
        <v>10</v>
      </c>
      <c r="I365" s="133">
        <v>4</v>
      </c>
      <c r="J365" s="134">
        <v>2007</v>
      </c>
      <c r="K365" s="97" t="s">
        <v>56</v>
      </c>
      <c r="L365" s="97">
        <v>755830</v>
      </c>
      <c r="M365" s="97" t="s">
        <v>796</v>
      </c>
      <c r="N365" s="186">
        <v>2989.02</v>
      </c>
      <c r="O365" s="187" t="s">
        <v>1564</v>
      </c>
      <c r="P365" s="245"/>
      <c r="Q365" s="245">
        <v>10</v>
      </c>
      <c r="R365" s="30">
        <f t="shared" si="38"/>
        <v>24.900166666666667</v>
      </c>
      <c r="S365" s="5">
        <v>2589.6173333333336</v>
      </c>
      <c r="T365" s="313">
        <f t="shared" si="39"/>
        <v>2614.5174999999999</v>
      </c>
      <c r="U365" s="15">
        <f t="shared" si="40"/>
        <v>24.900166666666337</v>
      </c>
      <c r="V365" s="313">
        <f t="shared" si="41"/>
        <v>374.50250000000005</v>
      </c>
      <c r="W365" s="245">
        <v>9897</v>
      </c>
      <c r="X365" s="312"/>
      <c r="Y365" s="313"/>
      <c r="Z365" s="114">
        <f t="shared" si="42"/>
        <v>105</v>
      </c>
    </row>
    <row r="366" spans="1:26" s="318" customFormat="1" x14ac:dyDescent="0.25">
      <c r="A366" s="97" t="s">
        <v>1692</v>
      </c>
      <c r="B366" s="97" t="s">
        <v>1664</v>
      </c>
      <c r="C366" s="138" t="s">
        <v>1693</v>
      </c>
      <c r="D366" s="138">
        <v>500</v>
      </c>
      <c r="E366" s="97"/>
      <c r="F366" s="97" t="s">
        <v>1679</v>
      </c>
      <c r="G366" s="132" t="str">
        <f t="shared" si="37"/>
        <v>10/4/2007</v>
      </c>
      <c r="H366" s="133">
        <v>10</v>
      </c>
      <c r="I366" s="133">
        <v>4</v>
      </c>
      <c r="J366" s="134">
        <v>2007</v>
      </c>
      <c r="K366" s="97" t="s">
        <v>56</v>
      </c>
      <c r="L366" s="97">
        <v>755830</v>
      </c>
      <c r="M366" s="97" t="s">
        <v>796</v>
      </c>
      <c r="N366" s="186">
        <v>4785.41</v>
      </c>
      <c r="O366" s="187" t="s">
        <v>1694</v>
      </c>
      <c r="P366" s="245"/>
      <c r="Q366" s="245">
        <v>10</v>
      </c>
      <c r="R366" s="30">
        <f t="shared" si="38"/>
        <v>39.870083333333334</v>
      </c>
      <c r="S366" s="5">
        <v>4146.4886666666671</v>
      </c>
      <c r="T366" s="313">
        <f t="shared" si="39"/>
        <v>4186.3587500000003</v>
      </c>
      <c r="U366" s="15">
        <f t="shared" si="40"/>
        <v>39.870083333333241</v>
      </c>
      <c r="V366" s="313">
        <f t="shared" si="41"/>
        <v>599.05124999999953</v>
      </c>
      <c r="W366" s="245">
        <v>9897</v>
      </c>
      <c r="X366" s="312"/>
      <c r="Y366" s="313"/>
      <c r="Z366" s="114">
        <f t="shared" si="42"/>
        <v>105</v>
      </c>
    </row>
    <row r="367" spans="1:26" s="338" customFormat="1" x14ac:dyDescent="0.25">
      <c r="A367" s="97" t="s">
        <v>1695</v>
      </c>
      <c r="B367" s="97" t="s">
        <v>1696</v>
      </c>
      <c r="C367" s="97"/>
      <c r="D367" s="97"/>
      <c r="E367" s="97"/>
      <c r="F367" s="97" t="s">
        <v>1679</v>
      </c>
      <c r="G367" s="132" t="str">
        <f t="shared" ref="G367:G398" si="43">CONCATENATE(H367,"/",I367,"/",J367,)</f>
        <v>10/4/2007</v>
      </c>
      <c r="H367" s="133">
        <v>10</v>
      </c>
      <c r="I367" s="133">
        <v>4</v>
      </c>
      <c r="J367" s="134">
        <v>2007</v>
      </c>
      <c r="K367" s="97" t="s">
        <v>56</v>
      </c>
      <c r="L367" s="97">
        <v>755830</v>
      </c>
      <c r="M367" s="97" t="s">
        <v>796</v>
      </c>
      <c r="N367" s="186">
        <v>5244.62</v>
      </c>
      <c r="O367" s="186"/>
      <c r="P367" s="245"/>
      <c r="Q367" s="245">
        <v>10</v>
      </c>
      <c r="R367" s="30">
        <f t="shared" ref="R367:R398" si="44">(((N367)-1)/10)/12</f>
        <v>43.696833333333331</v>
      </c>
      <c r="S367" s="5">
        <v>4544.4706666666661</v>
      </c>
      <c r="T367" s="313">
        <f t="shared" ref="T367:T398" si="45">Z367*R367</f>
        <v>4588.1674999999996</v>
      </c>
      <c r="U367" s="15">
        <f t="shared" si="40"/>
        <v>43.696833333333416</v>
      </c>
      <c r="V367" s="313">
        <f t="shared" ref="V367:V398" si="46">N367-T367</f>
        <v>656.45250000000033</v>
      </c>
      <c r="W367" s="245">
        <v>9897</v>
      </c>
      <c r="X367" s="312"/>
      <c r="Y367" s="313"/>
      <c r="Z367" s="114">
        <f t="shared" ref="Z367:Z398" si="47">IF((DATEDIF(G367,Z$4,"m"))&gt;=120,120,(DATEDIF(G367,Z$4,"m")))</f>
        <v>105</v>
      </c>
    </row>
    <row r="368" spans="1:26" s="245" customFormat="1" x14ac:dyDescent="0.25">
      <c r="A368" s="97" t="s">
        <v>1697</v>
      </c>
      <c r="B368" s="97" t="s">
        <v>1698</v>
      </c>
      <c r="C368" s="97" t="s">
        <v>1401</v>
      </c>
      <c r="D368" s="97"/>
      <c r="E368" s="97"/>
      <c r="F368" s="97" t="s">
        <v>1699</v>
      </c>
      <c r="G368" s="132" t="str">
        <f t="shared" si="43"/>
        <v>18/12/2007</v>
      </c>
      <c r="H368" s="133">
        <v>18</v>
      </c>
      <c r="I368" s="133">
        <v>12</v>
      </c>
      <c r="J368" s="134">
        <v>2007</v>
      </c>
      <c r="K368" s="97" t="s">
        <v>931</v>
      </c>
      <c r="L368" s="97">
        <v>1936</v>
      </c>
      <c r="M368" s="97" t="s">
        <v>796</v>
      </c>
      <c r="N368" s="186">
        <v>4995</v>
      </c>
      <c r="O368" s="186" t="s">
        <v>1504</v>
      </c>
      <c r="Q368" s="245">
        <v>10</v>
      </c>
      <c r="R368" s="30">
        <f t="shared" si="44"/>
        <v>41.616666666666667</v>
      </c>
      <c r="S368" s="5">
        <v>3995.2</v>
      </c>
      <c r="T368" s="313">
        <f t="shared" si="45"/>
        <v>4036.8166666666666</v>
      </c>
      <c r="U368" s="15">
        <f t="shared" si="40"/>
        <v>41.616666666666788</v>
      </c>
      <c r="V368" s="313">
        <f t="shared" si="46"/>
        <v>958.18333333333339</v>
      </c>
      <c r="W368" s="245">
        <v>98</v>
      </c>
      <c r="X368" s="312"/>
      <c r="Y368" s="313"/>
      <c r="Z368" s="114">
        <f t="shared" si="47"/>
        <v>97</v>
      </c>
    </row>
    <row r="369" spans="1:26" s="345" customFormat="1" x14ac:dyDescent="0.25">
      <c r="A369" s="97" t="s">
        <v>1700</v>
      </c>
      <c r="B369" s="97" t="s">
        <v>1698</v>
      </c>
      <c r="C369" s="97" t="s">
        <v>1401</v>
      </c>
      <c r="D369" s="97"/>
      <c r="E369" s="97"/>
      <c r="F369" s="97" t="s">
        <v>1699</v>
      </c>
      <c r="G369" s="132" t="str">
        <f t="shared" si="43"/>
        <v>18/12/2007</v>
      </c>
      <c r="H369" s="133">
        <v>18</v>
      </c>
      <c r="I369" s="133">
        <v>12</v>
      </c>
      <c r="J369" s="134">
        <v>2007</v>
      </c>
      <c r="K369" s="97" t="s">
        <v>931</v>
      </c>
      <c r="L369" s="97">
        <v>1936</v>
      </c>
      <c r="M369" s="97" t="s">
        <v>796</v>
      </c>
      <c r="N369" s="186">
        <v>6095</v>
      </c>
      <c r="O369" s="186"/>
      <c r="P369" s="245"/>
      <c r="Q369" s="245">
        <v>10</v>
      </c>
      <c r="R369" s="30">
        <f t="shared" si="44"/>
        <v>50.783333333333331</v>
      </c>
      <c r="S369" s="5">
        <v>4875.2</v>
      </c>
      <c r="T369" s="313">
        <f t="shared" si="45"/>
        <v>4925.9833333333336</v>
      </c>
      <c r="U369" s="15">
        <f t="shared" si="40"/>
        <v>50.783333333333758</v>
      </c>
      <c r="V369" s="313">
        <f t="shared" si="46"/>
        <v>1169.0166666666664</v>
      </c>
      <c r="W369" s="245">
        <v>98</v>
      </c>
      <c r="X369" s="312"/>
      <c r="Y369" s="313"/>
      <c r="Z369" s="114">
        <f t="shared" si="47"/>
        <v>97</v>
      </c>
    </row>
    <row r="370" spans="1:26" s="245" customFormat="1" x14ac:dyDescent="0.25">
      <c r="A370" s="94" t="s">
        <v>1701</v>
      </c>
      <c r="B370" s="94" t="s">
        <v>1036</v>
      </c>
      <c r="C370" s="94" t="s">
        <v>459</v>
      </c>
      <c r="D370" s="94" t="s">
        <v>1702</v>
      </c>
      <c r="E370" s="94">
        <v>55010423</v>
      </c>
      <c r="F370" s="94" t="s">
        <v>1703</v>
      </c>
      <c r="G370" s="212" t="str">
        <f t="shared" si="43"/>
        <v>12/3/2007</v>
      </c>
      <c r="H370" s="94">
        <v>12</v>
      </c>
      <c r="I370" s="94">
        <v>3</v>
      </c>
      <c r="J370" s="94">
        <v>2007</v>
      </c>
      <c r="K370" s="213" t="s">
        <v>56</v>
      </c>
      <c r="L370" s="94">
        <v>2740</v>
      </c>
      <c r="M370" s="94" t="s">
        <v>796</v>
      </c>
      <c r="N370" s="214">
        <v>37500</v>
      </c>
      <c r="O370" s="202" t="s">
        <v>1704</v>
      </c>
      <c r="Q370" s="245">
        <v>10</v>
      </c>
      <c r="R370" s="84">
        <f t="shared" si="44"/>
        <v>312.49166666666667</v>
      </c>
      <c r="S370" s="5">
        <v>32811.625</v>
      </c>
      <c r="T370" s="346">
        <f t="shared" si="45"/>
        <v>33124.116666666669</v>
      </c>
      <c r="U370" s="15">
        <f t="shared" si="40"/>
        <v>312.49166666666861</v>
      </c>
      <c r="V370" s="346">
        <f t="shared" si="46"/>
        <v>4375.8833333333314</v>
      </c>
      <c r="W370" s="345">
        <v>9382</v>
      </c>
      <c r="X370" s="347"/>
      <c r="Y370" s="346"/>
      <c r="Z370" s="95">
        <f t="shared" si="47"/>
        <v>106</v>
      </c>
    </row>
    <row r="371" spans="1:26" s="245" customFormat="1" x14ac:dyDescent="0.25">
      <c r="A371" s="97" t="s">
        <v>1705</v>
      </c>
      <c r="B371" s="97" t="s">
        <v>1706</v>
      </c>
      <c r="C371" s="97"/>
      <c r="D371" s="97"/>
      <c r="E371" s="97"/>
      <c r="F371" s="97"/>
      <c r="G371" s="132" t="str">
        <f t="shared" si="43"/>
        <v>8/10/2007</v>
      </c>
      <c r="H371" s="133">
        <v>8</v>
      </c>
      <c r="I371" s="133">
        <v>10</v>
      </c>
      <c r="J371" s="134">
        <v>2007</v>
      </c>
      <c r="K371" s="97" t="s">
        <v>1707</v>
      </c>
      <c r="L371" s="97" t="s">
        <v>1708</v>
      </c>
      <c r="M371" s="97" t="s">
        <v>796</v>
      </c>
      <c r="N371" s="186">
        <v>999.1</v>
      </c>
      <c r="O371" s="186"/>
      <c r="Q371" s="245">
        <v>10</v>
      </c>
      <c r="R371" s="30">
        <f t="shared" si="44"/>
        <v>8.3175000000000008</v>
      </c>
      <c r="S371" s="5">
        <v>815.11500000000012</v>
      </c>
      <c r="T371" s="313">
        <f t="shared" si="45"/>
        <v>823.43250000000012</v>
      </c>
      <c r="U371" s="15">
        <f t="shared" si="40"/>
        <v>8.3174999999999955</v>
      </c>
      <c r="V371" s="313">
        <f t="shared" si="46"/>
        <v>175.6674999999999</v>
      </c>
      <c r="X371" s="312"/>
      <c r="Y371" s="313"/>
      <c r="Z371" s="114">
        <f t="shared" si="47"/>
        <v>99</v>
      </c>
    </row>
    <row r="372" spans="1:26" s="245" customFormat="1" x14ac:dyDescent="0.25">
      <c r="A372" s="97" t="s">
        <v>1709</v>
      </c>
      <c r="B372" s="97" t="s">
        <v>1706</v>
      </c>
      <c r="C372" s="97"/>
      <c r="D372" s="97"/>
      <c r="E372" s="97"/>
      <c r="F372" s="97"/>
      <c r="G372" s="132" t="str">
        <f t="shared" si="43"/>
        <v>8/10/2007</v>
      </c>
      <c r="H372" s="133">
        <v>8</v>
      </c>
      <c r="I372" s="133">
        <v>10</v>
      </c>
      <c r="J372" s="134">
        <v>2007</v>
      </c>
      <c r="K372" s="97" t="s">
        <v>1707</v>
      </c>
      <c r="L372" s="97" t="s">
        <v>1708</v>
      </c>
      <c r="M372" s="97" t="s">
        <v>796</v>
      </c>
      <c r="N372" s="186">
        <v>999.1</v>
      </c>
      <c r="O372" s="186"/>
      <c r="Q372" s="245">
        <v>10</v>
      </c>
      <c r="R372" s="30">
        <f t="shared" si="44"/>
        <v>8.3175000000000008</v>
      </c>
      <c r="S372" s="5">
        <v>815.11500000000012</v>
      </c>
      <c r="T372" s="313">
        <f t="shared" si="45"/>
        <v>823.43250000000012</v>
      </c>
      <c r="U372" s="15">
        <f t="shared" si="40"/>
        <v>8.3174999999999955</v>
      </c>
      <c r="V372" s="313">
        <f t="shared" si="46"/>
        <v>175.6674999999999</v>
      </c>
      <c r="X372" s="312"/>
      <c r="Y372" s="313"/>
      <c r="Z372" s="114">
        <f t="shared" si="47"/>
        <v>99</v>
      </c>
    </row>
    <row r="373" spans="1:26" s="245" customFormat="1" x14ac:dyDescent="0.25">
      <c r="A373" s="97" t="s">
        <v>1710</v>
      </c>
      <c r="B373" s="97" t="s">
        <v>1706</v>
      </c>
      <c r="C373" s="97"/>
      <c r="D373" s="97"/>
      <c r="E373" s="97"/>
      <c r="F373" s="97"/>
      <c r="G373" s="132" t="str">
        <f t="shared" si="43"/>
        <v>8/10/2007</v>
      </c>
      <c r="H373" s="133">
        <v>8</v>
      </c>
      <c r="I373" s="133">
        <v>10</v>
      </c>
      <c r="J373" s="134">
        <v>2007</v>
      </c>
      <c r="K373" s="97" t="s">
        <v>1707</v>
      </c>
      <c r="L373" s="97" t="s">
        <v>1708</v>
      </c>
      <c r="M373" s="97" t="s">
        <v>796</v>
      </c>
      <c r="N373" s="186">
        <v>999.1</v>
      </c>
      <c r="O373" s="186"/>
      <c r="Q373" s="245">
        <v>10</v>
      </c>
      <c r="R373" s="30">
        <f t="shared" si="44"/>
        <v>8.3175000000000008</v>
      </c>
      <c r="S373" s="5">
        <v>815.11500000000012</v>
      </c>
      <c r="T373" s="313">
        <f t="shared" si="45"/>
        <v>823.43250000000012</v>
      </c>
      <c r="U373" s="15">
        <f t="shared" si="40"/>
        <v>8.3174999999999955</v>
      </c>
      <c r="V373" s="313">
        <f t="shared" si="46"/>
        <v>175.6674999999999</v>
      </c>
      <c r="X373" s="312"/>
      <c r="Y373" s="313"/>
      <c r="Z373" s="114">
        <f t="shared" si="47"/>
        <v>99</v>
      </c>
    </row>
    <row r="374" spans="1:26" s="245" customFormat="1" x14ac:dyDescent="0.25">
      <c r="A374" s="97" t="s">
        <v>1711</v>
      </c>
      <c r="B374" s="97" t="s">
        <v>1706</v>
      </c>
      <c r="C374" s="97"/>
      <c r="D374" s="97"/>
      <c r="E374" s="97"/>
      <c r="F374" s="97"/>
      <c r="G374" s="132" t="str">
        <f t="shared" si="43"/>
        <v>8/10/2007</v>
      </c>
      <c r="H374" s="133">
        <v>8</v>
      </c>
      <c r="I374" s="133">
        <v>10</v>
      </c>
      <c r="J374" s="134">
        <v>2007</v>
      </c>
      <c r="K374" s="97" t="s">
        <v>1707</v>
      </c>
      <c r="L374" s="97" t="s">
        <v>1708</v>
      </c>
      <c r="M374" s="97" t="s">
        <v>796</v>
      </c>
      <c r="N374" s="186">
        <v>999.1</v>
      </c>
      <c r="O374" s="186"/>
      <c r="Q374" s="245">
        <v>10</v>
      </c>
      <c r="R374" s="30">
        <f t="shared" si="44"/>
        <v>8.3175000000000008</v>
      </c>
      <c r="S374" s="5">
        <v>815.11500000000012</v>
      </c>
      <c r="T374" s="313">
        <f t="shared" si="45"/>
        <v>823.43250000000012</v>
      </c>
      <c r="U374" s="15">
        <f t="shared" si="40"/>
        <v>8.3174999999999955</v>
      </c>
      <c r="V374" s="313">
        <f t="shared" si="46"/>
        <v>175.6674999999999</v>
      </c>
      <c r="X374" s="312"/>
      <c r="Y374" s="313"/>
      <c r="Z374" s="114">
        <f t="shared" si="47"/>
        <v>99</v>
      </c>
    </row>
    <row r="375" spans="1:26" s="245" customFormat="1" x14ac:dyDescent="0.25">
      <c r="A375" s="97" t="s">
        <v>1712</v>
      </c>
      <c r="B375" s="97" t="s">
        <v>1706</v>
      </c>
      <c r="C375" s="97"/>
      <c r="D375" s="97"/>
      <c r="E375" s="97"/>
      <c r="F375" s="97"/>
      <c r="G375" s="132" t="str">
        <f t="shared" si="43"/>
        <v>8/10/2007</v>
      </c>
      <c r="H375" s="133">
        <v>8</v>
      </c>
      <c r="I375" s="133">
        <v>10</v>
      </c>
      <c r="J375" s="134">
        <v>2007</v>
      </c>
      <c r="K375" s="97" t="s">
        <v>1707</v>
      </c>
      <c r="L375" s="97" t="s">
        <v>1708</v>
      </c>
      <c r="M375" s="97" t="s">
        <v>796</v>
      </c>
      <c r="N375" s="186">
        <v>999.1</v>
      </c>
      <c r="O375" s="186"/>
      <c r="Q375" s="245">
        <v>10</v>
      </c>
      <c r="R375" s="30">
        <f t="shared" si="44"/>
        <v>8.3175000000000008</v>
      </c>
      <c r="S375" s="5">
        <v>815.11500000000012</v>
      </c>
      <c r="T375" s="313">
        <f t="shared" si="45"/>
        <v>823.43250000000012</v>
      </c>
      <c r="U375" s="15">
        <f t="shared" si="40"/>
        <v>8.3174999999999955</v>
      </c>
      <c r="V375" s="313">
        <f t="shared" si="46"/>
        <v>175.6674999999999</v>
      </c>
      <c r="X375" s="312"/>
      <c r="Y375" s="313"/>
      <c r="Z375" s="114">
        <f t="shared" si="47"/>
        <v>99</v>
      </c>
    </row>
    <row r="376" spans="1:26" s="245" customFormat="1" x14ac:dyDescent="0.25">
      <c r="A376" s="97" t="s">
        <v>1713</v>
      </c>
      <c r="B376" s="97" t="s">
        <v>1706</v>
      </c>
      <c r="C376" s="97"/>
      <c r="D376" s="97"/>
      <c r="E376" s="97"/>
      <c r="F376" s="97"/>
      <c r="G376" s="132" t="str">
        <f t="shared" si="43"/>
        <v>8/10/2007</v>
      </c>
      <c r="H376" s="133">
        <v>8</v>
      </c>
      <c r="I376" s="133">
        <v>10</v>
      </c>
      <c r="J376" s="134">
        <v>2007</v>
      </c>
      <c r="K376" s="97" t="s">
        <v>1707</v>
      </c>
      <c r="L376" s="97" t="s">
        <v>1708</v>
      </c>
      <c r="M376" s="97" t="s">
        <v>796</v>
      </c>
      <c r="N376" s="186">
        <v>999.1</v>
      </c>
      <c r="O376" s="186"/>
      <c r="Q376" s="245">
        <v>10</v>
      </c>
      <c r="R376" s="30">
        <f t="shared" si="44"/>
        <v>8.3175000000000008</v>
      </c>
      <c r="S376" s="5">
        <v>815.11500000000012</v>
      </c>
      <c r="T376" s="313">
        <f t="shared" si="45"/>
        <v>823.43250000000012</v>
      </c>
      <c r="U376" s="15">
        <f t="shared" si="40"/>
        <v>8.3174999999999955</v>
      </c>
      <c r="V376" s="313">
        <f t="shared" si="46"/>
        <v>175.6674999999999</v>
      </c>
      <c r="X376" s="312"/>
      <c r="Y376" s="313"/>
      <c r="Z376" s="114">
        <f t="shared" si="47"/>
        <v>99</v>
      </c>
    </row>
    <row r="377" spans="1:26" s="245" customFormat="1" x14ac:dyDescent="0.25">
      <c r="A377" s="97" t="s">
        <v>1714</v>
      </c>
      <c r="B377" s="97" t="s">
        <v>1706</v>
      </c>
      <c r="C377" s="97"/>
      <c r="D377" s="97"/>
      <c r="E377" s="97"/>
      <c r="F377" s="97"/>
      <c r="G377" s="132" t="str">
        <f t="shared" si="43"/>
        <v>8/10/2007</v>
      </c>
      <c r="H377" s="133">
        <v>8</v>
      </c>
      <c r="I377" s="133">
        <v>10</v>
      </c>
      <c r="J377" s="134">
        <v>2007</v>
      </c>
      <c r="K377" s="97" t="s">
        <v>1707</v>
      </c>
      <c r="L377" s="97" t="s">
        <v>1708</v>
      </c>
      <c r="M377" s="97" t="s">
        <v>796</v>
      </c>
      <c r="N377" s="186">
        <v>999.1</v>
      </c>
      <c r="O377" s="186"/>
      <c r="Q377" s="245">
        <v>10</v>
      </c>
      <c r="R377" s="30">
        <f t="shared" si="44"/>
        <v>8.3175000000000008</v>
      </c>
      <c r="S377" s="5">
        <v>815.11500000000012</v>
      </c>
      <c r="T377" s="313">
        <f t="shared" si="45"/>
        <v>823.43250000000012</v>
      </c>
      <c r="U377" s="15">
        <f t="shared" si="40"/>
        <v>8.3174999999999955</v>
      </c>
      <c r="V377" s="313">
        <f t="shared" si="46"/>
        <v>175.6674999999999</v>
      </c>
      <c r="X377" s="312"/>
      <c r="Y377" s="313"/>
      <c r="Z377" s="114">
        <f t="shared" si="47"/>
        <v>99</v>
      </c>
    </row>
    <row r="378" spans="1:26" s="245" customFormat="1" x14ac:dyDescent="0.25">
      <c r="A378" s="97" t="s">
        <v>1715</v>
      </c>
      <c r="B378" s="97" t="s">
        <v>1706</v>
      </c>
      <c r="C378" s="97"/>
      <c r="D378" s="97"/>
      <c r="E378" s="97"/>
      <c r="F378" s="97"/>
      <c r="G378" s="132" t="str">
        <f t="shared" si="43"/>
        <v>8/10/2007</v>
      </c>
      <c r="H378" s="133">
        <v>8</v>
      </c>
      <c r="I378" s="133">
        <v>10</v>
      </c>
      <c r="J378" s="134">
        <v>2007</v>
      </c>
      <c r="K378" s="97" t="s">
        <v>1707</v>
      </c>
      <c r="L378" s="97" t="s">
        <v>1708</v>
      </c>
      <c r="M378" s="97" t="s">
        <v>796</v>
      </c>
      <c r="N378" s="186">
        <v>999.1</v>
      </c>
      <c r="O378" s="186"/>
      <c r="Q378" s="245">
        <v>10</v>
      </c>
      <c r="R378" s="30">
        <f t="shared" si="44"/>
        <v>8.3175000000000008</v>
      </c>
      <c r="S378" s="5">
        <v>815.11500000000012</v>
      </c>
      <c r="T378" s="313">
        <f t="shared" si="45"/>
        <v>823.43250000000012</v>
      </c>
      <c r="U378" s="15">
        <f t="shared" si="40"/>
        <v>8.3174999999999955</v>
      </c>
      <c r="V378" s="313">
        <f t="shared" si="46"/>
        <v>175.6674999999999</v>
      </c>
      <c r="X378" s="312"/>
      <c r="Y378" s="313"/>
      <c r="Z378" s="114">
        <f t="shared" si="47"/>
        <v>99</v>
      </c>
    </row>
    <row r="379" spans="1:26" s="245" customFormat="1" x14ac:dyDescent="0.25">
      <c r="A379" s="97" t="s">
        <v>1716</v>
      </c>
      <c r="B379" s="97" t="s">
        <v>1706</v>
      </c>
      <c r="C379" s="97"/>
      <c r="D379" s="97"/>
      <c r="E379" s="97"/>
      <c r="F379" s="97"/>
      <c r="G379" s="132" t="str">
        <f t="shared" si="43"/>
        <v>8/10/2007</v>
      </c>
      <c r="H379" s="133">
        <v>8</v>
      </c>
      <c r="I379" s="133">
        <v>10</v>
      </c>
      <c r="J379" s="134">
        <v>2007</v>
      </c>
      <c r="K379" s="97" t="s">
        <v>1707</v>
      </c>
      <c r="L379" s="97" t="s">
        <v>1708</v>
      </c>
      <c r="M379" s="97" t="s">
        <v>796</v>
      </c>
      <c r="N379" s="186">
        <v>999.1</v>
      </c>
      <c r="O379" s="186"/>
      <c r="Q379" s="245">
        <v>10</v>
      </c>
      <c r="R379" s="30">
        <f t="shared" si="44"/>
        <v>8.3175000000000008</v>
      </c>
      <c r="S379" s="5">
        <v>815.11500000000012</v>
      </c>
      <c r="T379" s="313">
        <f t="shared" si="45"/>
        <v>823.43250000000012</v>
      </c>
      <c r="U379" s="15">
        <f t="shared" si="40"/>
        <v>8.3174999999999955</v>
      </c>
      <c r="V379" s="313">
        <f t="shared" si="46"/>
        <v>175.6674999999999</v>
      </c>
      <c r="X379" s="312"/>
      <c r="Y379" s="313"/>
      <c r="Z379" s="114">
        <f t="shared" si="47"/>
        <v>99</v>
      </c>
    </row>
    <row r="380" spans="1:26" s="245" customFormat="1" x14ac:dyDescent="0.25">
      <c r="A380" s="97" t="s">
        <v>1717</v>
      </c>
      <c r="B380" s="97" t="s">
        <v>1706</v>
      </c>
      <c r="C380" s="97"/>
      <c r="D380" s="97"/>
      <c r="E380" s="97"/>
      <c r="F380" s="97"/>
      <c r="G380" s="132" t="str">
        <f t="shared" si="43"/>
        <v>8/10/2007</v>
      </c>
      <c r="H380" s="133">
        <v>8</v>
      </c>
      <c r="I380" s="133">
        <v>10</v>
      </c>
      <c r="J380" s="134">
        <v>2007</v>
      </c>
      <c r="K380" s="97" t="s">
        <v>1707</v>
      </c>
      <c r="L380" s="97" t="s">
        <v>1708</v>
      </c>
      <c r="M380" s="97" t="s">
        <v>796</v>
      </c>
      <c r="N380" s="186">
        <v>999.1</v>
      </c>
      <c r="O380" s="186"/>
      <c r="Q380" s="245">
        <v>10</v>
      </c>
      <c r="R380" s="30">
        <f t="shared" si="44"/>
        <v>8.3175000000000008</v>
      </c>
      <c r="S380" s="5">
        <v>815.11500000000012</v>
      </c>
      <c r="T380" s="313">
        <f t="shared" si="45"/>
        <v>823.43250000000012</v>
      </c>
      <c r="U380" s="15">
        <f t="shared" si="40"/>
        <v>8.3174999999999955</v>
      </c>
      <c r="V380" s="313">
        <f t="shared" si="46"/>
        <v>175.6674999999999</v>
      </c>
      <c r="X380" s="312"/>
      <c r="Y380" s="313"/>
      <c r="Z380" s="114">
        <f t="shared" si="47"/>
        <v>99</v>
      </c>
    </row>
    <row r="381" spans="1:26" s="245" customFormat="1" x14ac:dyDescent="0.25">
      <c r="A381" s="97" t="s">
        <v>1718</v>
      </c>
      <c r="B381" s="97" t="s">
        <v>1706</v>
      </c>
      <c r="C381" s="97"/>
      <c r="D381" s="97"/>
      <c r="E381" s="97"/>
      <c r="F381" s="97"/>
      <c r="G381" s="132" t="str">
        <f t="shared" si="43"/>
        <v>8/10/2007</v>
      </c>
      <c r="H381" s="133">
        <v>8</v>
      </c>
      <c r="I381" s="133">
        <v>10</v>
      </c>
      <c r="J381" s="134">
        <v>2007</v>
      </c>
      <c r="K381" s="97" t="s">
        <v>1707</v>
      </c>
      <c r="L381" s="97" t="s">
        <v>1708</v>
      </c>
      <c r="M381" s="97" t="s">
        <v>796</v>
      </c>
      <c r="N381" s="186">
        <v>999.1</v>
      </c>
      <c r="O381" s="186"/>
      <c r="Q381" s="245">
        <v>10</v>
      </c>
      <c r="R381" s="30">
        <f t="shared" si="44"/>
        <v>8.3175000000000008</v>
      </c>
      <c r="S381" s="5">
        <v>815.11500000000012</v>
      </c>
      <c r="T381" s="313">
        <f t="shared" si="45"/>
        <v>823.43250000000012</v>
      </c>
      <c r="U381" s="15">
        <f t="shared" si="40"/>
        <v>8.3174999999999955</v>
      </c>
      <c r="V381" s="313">
        <f t="shared" si="46"/>
        <v>175.6674999999999</v>
      </c>
      <c r="X381" s="312"/>
      <c r="Y381" s="313"/>
      <c r="Z381" s="114">
        <f t="shared" si="47"/>
        <v>99</v>
      </c>
    </row>
    <row r="382" spans="1:26" s="245" customFormat="1" x14ac:dyDescent="0.25">
      <c r="A382" s="97" t="s">
        <v>1719</v>
      </c>
      <c r="B382" s="97" t="s">
        <v>1706</v>
      </c>
      <c r="C382" s="97"/>
      <c r="D382" s="97"/>
      <c r="E382" s="97"/>
      <c r="F382" s="97"/>
      <c r="G382" s="132" t="str">
        <f t="shared" si="43"/>
        <v>8/10/2007</v>
      </c>
      <c r="H382" s="133">
        <v>8</v>
      </c>
      <c r="I382" s="133">
        <v>10</v>
      </c>
      <c r="J382" s="134">
        <v>2007</v>
      </c>
      <c r="K382" s="97" t="s">
        <v>1707</v>
      </c>
      <c r="L382" s="97" t="s">
        <v>1708</v>
      </c>
      <c r="M382" s="97" t="s">
        <v>796</v>
      </c>
      <c r="N382" s="186">
        <v>999.1</v>
      </c>
      <c r="O382" s="186"/>
      <c r="Q382" s="245">
        <v>10</v>
      </c>
      <c r="R382" s="30">
        <f t="shared" si="44"/>
        <v>8.3175000000000008</v>
      </c>
      <c r="S382" s="5">
        <v>815.11500000000012</v>
      </c>
      <c r="T382" s="313">
        <f t="shared" si="45"/>
        <v>823.43250000000012</v>
      </c>
      <c r="U382" s="15">
        <f t="shared" si="40"/>
        <v>8.3174999999999955</v>
      </c>
      <c r="V382" s="313">
        <f t="shared" si="46"/>
        <v>175.6674999999999</v>
      </c>
      <c r="X382" s="312"/>
      <c r="Y382" s="313"/>
      <c r="Z382" s="114">
        <f t="shared" si="47"/>
        <v>99</v>
      </c>
    </row>
    <row r="383" spans="1:26" s="245" customFormat="1" ht="15" customHeight="1" x14ac:dyDescent="0.25">
      <c r="A383" s="97" t="s">
        <v>1720</v>
      </c>
      <c r="B383" s="97" t="s">
        <v>1706</v>
      </c>
      <c r="C383" s="97"/>
      <c r="D383" s="97"/>
      <c r="E383" s="97"/>
      <c r="F383" s="97"/>
      <c r="G383" s="132" t="str">
        <f t="shared" si="43"/>
        <v>8/10/2007</v>
      </c>
      <c r="H383" s="133">
        <v>8</v>
      </c>
      <c r="I383" s="133">
        <v>10</v>
      </c>
      <c r="J383" s="134">
        <v>2007</v>
      </c>
      <c r="K383" s="97" t="s">
        <v>1707</v>
      </c>
      <c r="L383" s="97" t="s">
        <v>1708</v>
      </c>
      <c r="M383" s="97" t="s">
        <v>796</v>
      </c>
      <c r="N383" s="186">
        <v>999.1</v>
      </c>
      <c r="O383" s="186"/>
      <c r="Q383" s="245">
        <v>10</v>
      </c>
      <c r="R383" s="30">
        <f t="shared" si="44"/>
        <v>8.3175000000000008</v>
      </c>
      <c r="S383" s="5">
        <v>815.11500000000012</v>
      </c>
      <c r="T383" s="313">
        <f t="shared" si="45"/>
        <v>823.43250000000012</v>
      </c>
      <c r="U383" s="15">
        <f t="shared" si="40"/>
        <v>8.3174999999999955</v>
      </c>
      <c r="V383" s="313">
        <f t="shared" si="46"/>
        <v>175.6674999999999</v>
      </c>
      <c r="X383" s="312"/>
      <c r="Y383" s="313"/>
      <c r="Z383" s="114">
        <f t="shared" si="47"/>
        <v>99</v>
      </c>
    </row>
    <row r="384" spans="1:26" s="245" customFormat="1" x14ac:dyDescent="0.25">
      <c r="A384" s="97" t="s">
        <v>1721</v>
      </c>
      <c r="B384" s="97" t="s">
        <v>1706</v>
      </c>
      <c r="C384" s="97"/>
      <c r="D384" s="97"/>
      <c r="E384" s="97"/>
      <c r="F384" s="97"/>
      <c r="G384" s="132" t="str">
        <f t="shared" si="43"/>
        <v>8/10/2007</v>
      </c>
      <c r="H384" s="133">
        <v>8</v>
      </c>
      <c r="I384" s="133">
        <v>10</v>
      </c>
      <c r="J384" s="134">
        <v>2007</v>
      </c>
      <c r="K384" s="97" t="s">
        <v>1707</v>
      </c>
      <c r="L384" s="97" t="s">
        <v>1708</v>
      </c>
      <c r="M384" s="97" t="s">
        <v>796</v>
      </c>
      <c r="N384" s="186">
        <v>999.1</v>
      </c>
      <c r="O384" s="186"/>
      <c r="Q384" s="245">
        <v>10</v>
      </c>
      <c r="R384" s="30">
        <f t="shared" si="44"/>
        <v>8.3175000000000008</v>
      </c>
      <c r="S384" s="5">
        <v>815.11500000000012</v>
      </c>
      <c r="T384" s="313">
        <f t="shared" si="45"/>
        <v>823.43250000000012</v>
      </c>
      <c r="U384" s="15">
        <f t="shared" si="40"/>
        <v>8.3174999999999955</v>
      </c>
      <c r="V384" s="313">
        <f t="shared" si="46"/>
        <v>175.6674999999999</v>
      </c>
      <c r="X384" s="312"/>
      <c r="Y384" s="313"/>
      <c r="Z384" s="114">
        <f t="shared" si="47"/>
        <v>99</v>
      </c>
    </row>
    <row r="385" spans="1:26" s="245" customFormat="1" x14ac:dyDescent="0.25">
      <c r="A385" s="97" t="s">
        <v>1722</v>
      </c>
      <c r="B385" s="97" t="s">
        <v>1706</v>
      </c>
      <c r="C385" s="97"/>
      <c r="D385" s="97"/>
      <c r="E385" s="97"/>
      <c r="F385" s="97"/>
      <c r="G385" s="132" t="str">
        <f t="shared" si="43"/>
        <v>8/10/2007</v>
      </c>
      <c r="H385" s="133">
        <v>8</v>
      </c>
      <c r="I385" s="133">
        <v>10</v>
      </c>
      <c r="J385" s="134">
        <v>2007</v>
      </c>
      <c r="K385" s="97" t="s">
        <v>1707</v>
      </c>
      <c r="L385" s="97" t="s">
        <v>1708</v>
      </c>
      <c r="M385" s="97" t="s">
        <v>796</v>
      </c>
      <c r="N385" s="186">
        <v>999.1</v>
      </c>
      <c r="O385" s="186"/>
      <c r="Q385" s="245">
        <v>10</v>
      </c>
      <c r="R385" s="30">
        <f t="shared" si="44"/>
        <v>8.3175000000000008</v>
      </c>
      <c r="S385" s="5">
        <v>815.11500000000012</v>
      </c>
      <c r="T385" s="313">
        <f t="shared" si="45"/>
        <v>823.43250000000012</v>
      </c>
      <c r="U385" s="15">
        <f t="shared" si="40"/>
        <v>8.3174999999999955</v>
      </c>
      <c r="V385" s="313">
        <f t="shared" si="46"/>
        <v>175.6674999999999</v>
      </c>
      <c r="X385" s="312"/>
      <c r="Y385" s="313"/>
      <c r="Z385" s="114">
        <f t="shared" si="47"/>
        <v>99</v>
      </c>
    </row>
    <row r="386" spans="1:26" s="245" customFormat="1" x14ac:dyDescent="0.25">
      <c r="A386" s="97" t="s">
        <v>1723</v>
      </c>
      <c r="B386" s="97" t="s">
        <v>1706</v>
      </c>
      <c r="C386" s="97"/>
      <c r="D386" s="97"/>
      <c r="E386" s="97"/>
      <c r="F386" s="97"/>
      <c r="G386" s="132" t="str">
        <f t="shared" si="43"/>
        <v>8/10/2007</v>
      </c>
      <c r="H386" s="133">
        <v>8</v>
      </c>
      <c r="I386" s="133">
        <v>10</v>
      </c>
      <c r="J386" s="134">
        <v>2007</v>
      </c>
      <c r="K386" s="97" t="s">
        <v>1707</v>
      </c>
      <c r="L386" s="97" t="s">
        <v>1708</v>
      </c>
      <c r="M386" s="97" t="s">
        <v>796</v>
      </c>
      <c r="N386" s="186">
        <v>999.1</v>
      </c>
      <c r="O386" s="186"/>
      <c r="Q386" s="245">
        <v>10</v>
      </c>
      <c r="R386" s="30">
        <f t="shared" si="44"/>
        <v>8.3175000000000008</v>
      </c>
      <c r="S386" s="5">
        <v>815.11500000000012</v>
      </c>
      <c r="T386" s="313">
        <f t="shared" si="45"/>
        <v>823.43250000000012</v>
      </c>
      <c r="U386" s="15">
        <f t="shared" si="40"/>
        <v>8.3174999999999955</v>
      </c>
      <c r="V386" s="313">
        <f t="shared" si="46"/>
        <v>175.6674999999999</v>
      </c>
      <c r="X386" s="312"/>
      <c r="Y386" s="313"/>
      <c r="Z386" s="114">
        <f t="shared" si="47"/>
        <v>99</v>
      </c>
    </row>
    <row r="387" spans="1:26" s="245" customFormat="1" x14ac:dyDescent="0.25">
      <c r="A387" s="97" t="s">
        <v>1724</v>
      </c>
      <c r="B387" s="97" t="s">
        <v>1706</v>
      </c>
      <c r="C387" s="97"/>
      <c r="D387" s="97"/>
      <c r="E387" s="97"/>
      <c r="F387" s="97"/>
      <c r="G387" s="132" t="str">
        <f t="shared" si="43"/>
        <v>8/10/2007</v>
      </c>
      <c r="H387" s="133">
        <v>8</v>
      </c>
      <c r="I387" s="133">
        <v>10</v>
      </c>
      <c r="J387" s="134">
        <v>2007</v>
      </c>
      <c r="K387" s="97" t="s">
        <v>1707</v>
      </c>
      <c r="L387" s="97" t="s">
        <v>1708</v>
      </c>
      <c r="M387" s="97" t="s">
        <v>796</v>
      </c>
      <c r="N387" s="186">
        <v>999.1</v>
      </c>
      <c r="O387" s="186"/>
      <c r="Q387" s="245">
        <v>10</v>
      </c>
      <c r="R387" s="30">
        <f t="shared" si="44"/>
        <v>8.3175000000000008</v>
      </c>
      <c r="S387" s="5">
        <v>815.11500000000012</v>
      </c>
      <c r="T387" s="313">
        <f t="shared" si="45"/>
        <v>823.43250000000012</v>
      </c>
      <c r="U387" s="15">
        <f t="shared" si="40"/>
        <v>8.3174999999999955</v>
      </c>
      <c r="V387" s="313">
        <f t="shared" si="46"/>
        <v>175.6674999999999</v>
      </c>
      <c r="X387" s="312"/>
      <c r="Y387" s="313"/>
      <c r="Z387" s="114">
        <f t="shared" si="47"/>
        <v>99</v>
      </c>
    </row>
    <row r="388" spans="1:26" s="245" customFormat="1" x14ac:dyDescent="0.25">
      <c r="A388" s="97" t="s">
        <v>1725</v>
      </c>
      <c r="B388" s="97" t="s">
        <v>1706</v>
      </c>
      <c r="C388" s="97"/>
      <c r="D388" s="97"/>
      <c r="E388" s="97"/>
      <c r="F388" s="97"/>
      <c r="G388" s="132" t="str">
        <f t="shared" si="43"/>
        <v>8/10/2007</v>
      </c>
      <c r="H388" s="133">
        <v>8</v>
      </c>
      <c r="I388" s="133">
        <v>10</v>
      </c>
      <c r="J388" s="134">
        <v>2007</v>
      </c>
      <c r="K388" s="97" t="s">
        <v>1707</v>
      </c>
      <c r="L388" s="97" t="s">
        <v>1708</v>
      </c>
      <c r="M388" s="97" t="s">
        <v>796</v>
      </c>
      <c r="N388" s="186">
        <v>999.1</v>
      </c>
      <c r="O388" s="186"/>
      <c r="Q388" s="245">
        <v>10</v>
      </c>
      <c r="R388" s="30">
        <f t="shared" si="44"/>
        <v>8.3175000000000008</v>
      </c>
      <c r="S388" s="5">
        <v>815.11500000000012</v>
      </c>
      <c r="T388" s="313">
        <f t="shared" si="45"/>
        <v>823.43250000000012</v>
      </c>
      <c r="U388" s="15">
        <f t="shared" si="40"/>
        <v>8.3174999999999955</v>
      </c>
      <c r="V388" s="313">
        <f t="shared" si="46"/>
        <v>175.6674999999999</v>
      </c>
      <c r="X388" s="312"/>
      <c r="Y388" s="313"/>
      <c r="Z388" s="114">
        <f t="shared" si="47"/>
        <v>99</v>
      </c>
    </row>
    <row r="389" spans="1:26" s="245" customFormat="1" x14ac:dyDescent="0.25">
      <c r="A389" s="97" t="s">
        <v>1726</v>
      </c>
      <c r="B389" s="97" t="s">
        <v>1706</v>
      </c>
      <c r="C389" s="97"/>
      <c r="D389" s="97"/>
      <c r="E389" s="97"/>
      <c r="F389" s="97"/>
      <c r="G389" s="132" t="str">
        <f t="shared" si="43"/>
        <v>8/10/2007</v>
      </c>
      <c r="H389" s="133">
        <v>8</v>
      </c>
      <c r="I389" s="133">
        <v>10</v>
      </c>
      <c r="J389" s="134">
        <v>2007</v>
      </c>
      <c r="K389" s="97" t="s">
        <v>1707</v>
      </c>
      <c r="L389" s="97" t="s">
        <v>1708</v>
      </c>
      <c r="M389" s="97" t="s">
        <v>796</v>
      </c>
      <c r="N389" s="186">
        <v>999.1</v>
      </c>
      <c r="O389" s="186"/>
      <c r="Q389" s="245">
        <v>10</v>
      </c>
      <c r="R389" s="30">
        <f t="shared" si="44"/>
        <v>8.3175000000000008</v>
      </c>
      <c r="S389" s="5">
        <v>815.11500000000012</v>
      </c>
      <c r="T389" s="313">
        <f t="shared" si="45"/>
        <v>823.43250000000012</v>
      </c>
      <c r="U389" s="15">
        <f t="shared" si="40"/>
        <v>8.3174999999999955</v>
      </c>
      <c r="V389" s="313">
        <f t="shared" si="46"/>
        <v>175.6674999999999</v>
      </c>
      <c r="X389" s="312"/>
      <c r="Y389" s="313"/>
      <c r="Z389" s="114">
        <f t="shared" si="47"/>
        <v>99</v>
      </c>
    </row>
    <row r="390" spans="1:26" s="245" customFormat="1" x14ac:dyDescent="0.25">
      <c r="A390" s="97" t="s">
        <v>1727</v>
      </c>
      <c r="B390" s="97" t="s">
        <v>1706</v>
      </c>
      <c r="C390" s="97"/>
      <c r="D390" s="97"/>
      <c r="E390" s="97"/>
      <c r="F390" s="97"/>
      <c r="G390" s="132" t="str">
        <f t="shared" si="43"/>
        <v>8/10/2007</v>
      </c>
      <c r="H390" s="133">
        <v>8</v>
      </c>
      <c r="I390" s="133">
        <v>10</v>
      </c>
      <c r="J390" s="134">
        <v>2007</v>
      </c>
      <c r="K390" s="97" t="s">
        <v>1707</v>
      </c>
      <c r="L390" s="97" t="s">
        <v>1708</v>
      </c>
      <c r="M390" s="97" t="s">
        <v>796</v>
      </c>
      <c r="N390" s="186">
        <v>999.1</v>
      </c>
      <c r="O390" s="186"/>
      <c r="Q390" s="245">
        <v>10</v>
      </c>
      <c r="R390" s="30">
        <f t="shared" si="44"/>
        <v>8.3175000000000008</v>
      </c>
      <c r="S390" s="5">
        <v>815.11500000000012</v>
      </c>
      <c r="T390" s="313">
        <f t="shared" si="45"/>
        <v>823.43250000000012</v>
      </c>
      <c r="U390" s="15">
        <f t="shared" si="40"/>
        <v>8.3174999999999955</v>
      </c>
      <c r="V390" s="313">
        <f t="shared" si="46"/>
        <v>175.6674999999999</v>
      </c>
      <c r="X390" s="312"/>
      <c r="Y390" s="313"/>
      <c r="Z390" s="114">
        <f t="shared" si="47"/>
        <v>99</v>
      </c>
    </row>
    <row r="391" spans="1:26" s="245" customFormat="1" x14ac:dyDescent="0.25">
      <c r="A391" s="97" t="s">
        <v>1728</v>
      </c>
      <c r="B391" s="97" t="s">
        <v>1729</v>
      </c>
      <c r="C391" s="97"/>
      <c r="D391" s="97"/>
      <c r="E391" s="97"/>
      <c r="F391" s="97"/>
      <c r="G391" s="132" t="str">
        <f t="shared" si="43"/>
        <v>8/10/2007</v>
      </c>
      <c r="H391" s="133">
        <v>8</v>
      </c>
      <c r="I391" s="133">
        <v>10</v>
      </c>
      <c r="J391" s="134">
        <v>2007</v>
      </c>
      <c r="K391" s="97" t="s">
        <v>1707</v>
      </c>
      <c r="L391" s="97" t="s">
        <v>1730</v>
      </c>
      <c r="M391" s="97" t="s">
        <v>796</v>
      </c>
      <c r="N391" s="186">
        <v>2000</v>
      </c>
      <c r="O391" s="186"/>
      <c r="Q391" s="245">
        <v>10</v>
      </c>
      <c r="R391" s="30">
        <f t="shared" si="44"/>
        <v>16.658333333333335</v>
      </c>
      <c r="S391" s="5">
        <v>1632.5166666666669</v>
      </c>
      <c r="T391" s="313">
        <f t="shared" si="45"/>
        <v>1649.1750000000002</v>
      </c>
      <c r="U391" s="15">
        <f t="shared" si="40"/>
        <v>16.658333333333303</v>
      </c>
      <c r="V391" s="313">
        <f t="shared" si="46"/>
        <v>350.82499999999982</v>
      </c>
      <c r="X391" s="312"/>
      <c r="Y391" s="313"/>
      <c r="Z391" s="114">
        <f t="shared" si="47"/>
        <v>99</v>
      </c>
    </row>
    <row r="392" spans="1:26" s="245" customFormat="1" x14ac:dyDescent="0.25">
      <c r="A392" s="97" t="s">
        <v>1731</v>
      </c>
      <c r="B392" s="97" t="s">
        <v>1729</v>
      </c>
      <c r="C392" s="97"/>
      <c r="D392" s="97"/>
      <c r="E392" s="97"/>
      <c r="F392" s="97"/>
      <c r="G392" s="132" t="str">
        <f t="shared" si="43"/>
        <v>8/10/2007</v>
      </c>
      <c r="H392" s="133">
        <v>8</v>
      </c>
      <c r="I392" s="133">
        <v>10</v>
      </c>
      <c r="J392" s="134">
        <v>2007</v>
      </c>
      <c r="K392" s="97" t="s">
        <v>1707</v>
      </c>
      <c r="L392" s="97" t="s">
        <v>1730</v>
      </c>
      <c r="M392" s="97" t="s">
        <v>796</v>
      </c>
      <c r="N392" s="186">
        <v>2000</v>
      </c>
      <c r="O392" s="186"/>
      <c r="Q392" s="245">
        <v>10</v>
      </c>
      <c r="R392" s="30">
        <f t="shared" si="44"/>
        <v>16.658333333333335</v>
      </c>
      <c r="S392" s="5">
        <v>1632.5166666666669</v>
      </c>
      <c r="T392" s="313">
        <f t="shared" si="45"/>
        <v>1649.1750000000002</v>
      </c>
      <c r="U392" s="15">
        <f t="shared" si="40"/>
        <v>16.658333333333303</v>
      </c>
      <c r="V392" s="313">
        <f t="shared" si="46"/>
        <v>350.82499999999982</v>
      </c>
      <c r="X392" s="312"/>
      <c r="Y392" s="313"/>
      <c r="Z392" s="114">
        <f t="shared" si="47"/>
        <v>99</v>
      </c>
    </row>
    <row r="393" spans="1:26" s="245" customFormat="1" x14ac:dyDescent="0.25">
      <c r="A393" s="97" t="s">
        <v>1732</v>
      </c>
      <c r="B393" s="97" t="s">
        <v>1729</v>
      </c>
      <c r="C393" s="97"/>
      <c r="D393" s="97"/>
      <c r="E393" s="97"/>
      <c r="F393" s="97"/>
      <c r="G393" s="132" t="str">
        <f t="shared" si="43"/>
        <v>8/10/2007</v>
      </c>
      <c r="H393" s="133">
        <v>8</v>
      </c>
      <c r="I393" s="133">
        <v>10</v>
      </c>
      <c r="J393" s="134">
        <v>2007</v>
      </c>
      <c r="K393" s="97" t="s">
        <v>1707</v>
      </c>
      <c r="L393" s="97" t="s">
        <v>1730</v>
      </c>
      <c r="M393" s="97" t="s">
        <v>796</v>
      </c>
      <c r="N393" s="186">
        <v>2000</v>
      </c>
      <c r="O393" s="186"/>
      <c r="Q393" s="245">
        <v>10</v>
      </c>
      <c r="R393" s="30">
        <f t="shared" si="44"/>
        <v>16.658333333333335</v>
      </c>
      <c r="S393" s="5">
        <v>1632.5166666666669</v>
      </c>
      <c r="T393" s="313">
        <f t="shared" si="45"/>
        <v>1649.1750000000002</v>
      </c>
      <c r="U393" s="15">
        <f t="shared" si="40"/>
        <v>16.658333333333303</v>
      </c>
      <c r="V393" s="313">
        <f t="shared" si="46"/>
        <v>350.82499999999982</v>
      </c>
      <c r="X393" s="312"/>
      <c r="Y393" s="313"/>
      <c r="Z393" s="114">
        <f t="shared" si="47"/>
        <v>99</v>
      </c>
    </row>
    <row r="394" spans="1:26" s="245" customFormat="1" x14ac:dyDescent="0.25">
      <c r="A394" s="97" t="s">
        <v>1733</v>
      </c>
      <c r="B394" s="97" t="s">
        <v>1729</v>
      </c>
      <c r="C394" s="97"/>
      <c r="D394" s="97"/>
      <c r="E394" s="97"/>
      <c r="F394" s="97"/>
      <c r="G394" s="132" t="str">
        <f t="shared" si="43"/>
        <v>8/10/2007</v>
      </c>
      <c r="H394" s="133">
        <v>8</v>
      </c>
      <c r="I394" s="133">
        <v>10</v>
      </c>
      <c r="J394" s="134">
        <v>2007</v>
      </c>
      <c r="K394" s="97" t="s">
        <v>1707</v>
      </c>
      <c r="L394" s="97" t="s">
        <v>1730</v>
      </c>
      <c r="M394" s="97" t="s">
        <v>796</v>
      </c>
      <c r="N394" s="186">
        <v>2000</v>
      </c>
      <c r="O394" s="186"/>
      <c r="Q394" s="245">
        <v>10</v>
      </c>
      <c r="R394" s="30">
        <f t="shared" si="44"/>
        <v>16.658333333333335</v>
      </c>
      <c r="S394" s="5">
        <v>1632.5166666666669</v>
      </c>
      <c r="T394" s="313">
        <f t="shared" si="45"/>
        <v>1649.1750000000002</v>
      </c>
      <c r="U394" s="15">
        <f t="shared" si="40"/>
        <v>16.658333333333303</v>
      </c>
      <c r="V394" s="313">
        <f t="shared" si="46"/>
        <v>350.82499999999982</v>
      </c>
      <c r="X394" s="312"/>
      <c r="Y394" s="313"/>
      <c r="Z394" s="114">
        <f t="shared" si="47"/>
        <v>99</v>
      </c>
    </row>
    <row r="395" spans="1:26" s="245" customFormat="1" x14ac:dyDescent="0.25">
      <c r="A395" s="97" t="s">
        <v>1734</v>
      </c>
      <c r="B395" s="97" t="s">
        <v>1729</v>
      </c>
      <c r="C395" s="97"/>
      <c r="D395" s="97"/>
      <c r="E395" s="97"/>
      <c r="F395" s="97"/>
      <c r="G395" s="132" t="str">
        <f t="shared" si="43"/>
        <v>8/10/2007</v>
      </c>
      <c r="H395" s="133">
        <v>8</v>
      </c>
      <c r="I395" s="133">
        <v>10</v>
      </c>
      <c r="J395" s="134">
        <v>2007</v>
      </c>
      <c r="K395" s="97" t="s">
        <v>1707</v>
      </c>
      <c r="L395" s="97" t="s">
        <v>1730</v>
      </c>
      <c r="M395" s="97" t="s">
        <v>796</v>
      </c>
      <c r="N395" s="186">
        <v>2000</v>
      </c>
      <c r="O395" s="186"/>
      <c r="Q395" s="245">
        <v>10</v>
      </c>
      <c r="R395" s="30">
        <f t="shared" si="44"/>
        <v>16.658333333333335</v>
      </c>
      <c r="S395" s="5">
        <v>1632.5166666666669</v>
      </c>
      <c r="T395" s="313">
        <f t="shared" si="45"/>
        <v>1649.1750000000002</v>
      </c>
      <c r="U395" s="15">
        <f t="shared" si="40"/>
        <v>16.658333333333303</v>
      </c>
      <c r="V395" s="313">
        <f t="shared" si="46"/>
        <v>350.82499999999982</v>
      </c>
      <c r="X395" s="312"/>
      <c r="Y395" s="313"/>
      <c r="Z395" s="114">
        <f t="shared" si="47"/>
        <v>99</v>
      </c>
    </row>
    <row r="396" spans="1:26" s="245" customFormat="1" x14ac:dyDescent="0.25">
      <c r="A396" s="97" t="s">
        <v>1735</v>
      </c>
      <c r="B396" s="97" t="s">
        <v>1729</v>
      </c>
      <c r="C396" s="97"/>
      <c r="D396" s="97"/>
      <c r="E396" s="97"/>
      <c r="F396" s="97"/>
      <c r="G396" s="132" t="str">
        <f t="shared" si="43"/>
        <v>8/10/2007</v>
      </c>
      <c r="H396" s="133">
        <v>8</v>
      </c>
      <c r="I396" s="133">
        <v>10</v>
      </c>
      <c r="J396" s="134">
        <v>2007</v>
      </c>
      <c r="K396" s="97" t="s">
        <v>1707</v>
      </c>
      <c r="L396" s="97" t="s">
        <v>1730</v>
      </c>
      <c r="M396" s="97" t="s">
        <v>796</v>
      </c>
      <c r="N396" s="186">
        <v>2000</v>
      </c>
      <c r="O396" s="186"/>
      <c r="Q396" s="245">
        <v>10</v>
      </c>
      <c r="R396" s="30">
        <f t="shared" si="44"/>
        <v>16.658333333333335</v>
      </c>
      <c r="S396" s="5">
        <v>1632.5166666666669</v>
      </c>
      <c r="T396" s="313">
        <f t="shared" si="45"/>
        <v>1649.1750000000002</v>
      </c>
      <c r="U396" s="15">
        <f t="shared" si="40"/>
        <v>16.658333333333303</v>
      </c>
      <c r="V396" s="313">
        <f t="shared" si="46"/>
        <v>350.82499999999982</v>
      </c>
      <c r="X396" s="312"/>
      <c r="Y396" s="313"/>
      <c r="Z396" s="114">
        <f t="shared" si="47"/>
        <v>99</v>
      </c>
    </row>
    <row r="397" spans="1:26" s="245" customFormat="1" x14ac:dyDescent="0.25">
      <c r="A397" s="97" t="s">
        <v>1735</v>
      </c>
      <c r="B397" s="97" t="s">
        <v>1729</v>
      </c>
      <c r="C397" s="97"/>
      <c r="D397" s="97"/>
      <c r="E397" s="97"/>
      <c r="F397" s="97"/>
      <c r="G397" s="132" t="str">
        <f t="shared" si="43"/>
        <v>8/10/2007</v>
      </c>
      <c r="H397" s="133">
        <v>8</v>
      </c>
      <c r="I397" s="133">
        <v>10</v>
      </c>
      <c r="J397" s="134">
        <v>2007</v>
      </c>
      <c r="K397" s="97" t="s">
        <v>1707</v>
      </c>
      <c r="L397" s="97" t="s">
        <v>1730</v>
      </c>
      <c r="M397" s="97" t="s">
        <v>796</v>
      </c>
      <c r="N397" s="186">
        <v>2000</v>
      </c>
      <c r="O397" s="186"/>
      <c r="Q397" s="245">
        <v>10</v>
      </c>
      <c r="R397" s="30">
        <f t="shared" si="44"/>
        <v>16.658333333333335</v>
      </c>
      <c r="S397" s="5">
        <v>1632.5166666666669</v>
      </c>
      <c r="T397" s="313">
        <f t="shared" si="45"/>
        <v>1649.1750000000002</v>
      </c>
      <c r="U397" s="15">
        <f t="shared" si="40"/>
        <v>16.658333333333303</v>
      </c>
      <c r="V397" s="313">
        <f t="shared" si="46"/>
        <v>350.82499999999982</v>
      </c>
      <c r="X397" s="312"/>
      <c r="Y397" s="313"/>
      <c r="Z397" s="114">
        <f t="shared" si="47"/>
        <v>99</v>
      </c>
    </row>
    <row r="398" spans="1:26" s="245" customFormat="1" x14ac:dyDescent="0.25">
      <c r="A398" s="97" t="s">
        <v>1736</v>
      </c>
      <c r="B398" s="97" t="s">
        <v>1729</v>
      </c>
      <c r="C398" s="97"/>
      <c r="D398" s="97"/>
      <c r="E398" s="97"/>
      <c r="F398" s="97"/>
      <c r="G398" s="132" t="str">
        <f t="shared" si="43"/>
        <v>8/10/2007</v>
      </c>
      <c r="H398" s="133">
        <v>8</v>
      </c>
      <c r="I398" s="133">
        <v>10</v>
      </c>
      <c r="J398" s="134">
        <v>2007</v>
      </c>
      <c r="K398" s="97" t="s">
        <v>1707</v>
      </c>
      <c r="L398" s="97" t="s">
        <v>1730</v>
      </c>
      <c r="M398" s="97" t="s">
        <v>796</v>
      </c>
      <c r="N398" s="186">
        <v>2000</v>
      </c>
      <c r="O398" s="186"/>
      <c r="Q398" s="245">
        <v>10</v>
      </c>
      <c r="R398" s="30">
        <f t="shared" si="44"/>
        <v>16.658333333333335</v>
      </c>
      <c r="S398" s="5">
        <v>1632.5166666666669</v>
      </c>
      <c r="T398" s="313">
        <f t="shared" si="45"/>
        <v>1649.1750000000002</v>
      </c>
      <c r="U398" s="15">
        <f t="shared" si="40"/>
        <v>16.658333333333303</v>
      </c>
      <c r="V398" s="313">
        <f t="shared" si="46"/>
        <v>350.82499999999982</v>
      </c>
      <c r="X398" s="312"/>
      <c r="Y398" s="313"/>
      <c r="Z398" s="114">
        <f t="shared" si="47"/>
        <v>99</v>
      </c>
    </row>
    <row r="399" spans="1:26" s="245" customFormat="1" x14ac:dyDescent="0.25">
      <c r="A399" s="97" t="s">
        <v>1737</v>
      </c>
      <c r="B399" s="97" t="s">
        <v>1729</v>
      </c>
      <c r="C399" s="97"/>
      <c r="D399" s="97"/>
      <c r="E399" s="97"/>
      <c r="F399" s="97"/>
      <c r="G399" s="132" t="str">
        <f t="shared" ref="G399:G410" si="48">CONCATENATE(H399,"/",I399,"/",J399,)</f>
        <v>8/10/2007</v>
      </c>
      <c r="H399" s="133">
        <v>8</v>
      </c>
      <c r="I399" s="133">
        <v>10</v>
      </c>
      <c r="J399" s="134">
        <v>2007</v>
      </c>
      <c r="K399" s="97" t="s">
        <v>1707</v>
      </c>
      <c r="L399" s="97" t="s">
        <v>1730</v>
      </c>
      <c r="M399" s="97" t="s">
        <v>796</v>
      </c>
      <c r="N399" s="186">
        <v>2000</v>
      </c>
      <c r="O399" s="186"/>
      <c r="Q399" s="245">
        <v>10</v>
      </c>
      <c r="R399" s="30">
        <f t="shared" ref="R399:R410" si="49">(((N399)-1)/10)/12</f>
        <v>16.658333333333335</v>
      </c>
      <c r="S399" s="5">
        <v>1632.5166666666669</v>
      </c>
      <c r="T399" s="313">
        <f t="shared" ref="T399:T410" si="50">Z399*R399</f>
        <v>1649.1750000000002</v>
      </c>
      <c r="U399" s="15">
        <f t="shared" ref="U399:U410" si="51">T399-S399</f>
        <v>16.658333333333303</v>
      </c>
      <c r="V399" s="313">
        <f t="shared" ref="V399:V410" si="52">N399-T399</f>
        <v>350.82499999999982</v>
      </c>
      <c r="X399" s="312"/>
      <c r="Y399" s="313"/>
      <c r="Z399" s="114">
        <f t="shared" ref="Z399:Z410" si="53">IF((DATEDIF(G399,Z$4,"m"))&gt;=120,120,(DATEDIF(G399,Z$4,"m")))</f>
        <v>99</v>
      </c>
    </row>
    <row r="400" spans="1:26" s="245" customFormat="1" x14ac:dyDescent="0.25">
      <c r="A400" s="97" t="s">
        <v>1738</v>
      </c>
      <c r="B400" s="97" t="s">
        <v>1729</v>
      </c>
      <c r="C400" s="97"/>
      <c r="D400" s="97"/>
      <c r="E400" s="97"/>
      <c r="F400" s="97"/>
      <c r="G400" s="132" t="str">
        <f t="shared" si="48"/>
        <v>8/10/2007</v>
      </c>
      <c r="H400" s="133">
        <v>8</v>
      </c>
      <c r="I400" s="133">
        <v>10</v>
      </c>
      <c r="J400" s="134">
        <v>2007</v>
      </c>
      <c r="K400" s="97" t="s">
        <v>1707</v>
      </c>
      <c r="L400" s="97" t="s">
        <v>1730</v>
      </c>
      <c r="M400" s="97" t="s">
        <v>796</v>
      </c>
      <c r="N400" s="186">
        <v>2000</v>
      </c>
      <c r="O400" s="186"/>
      <c r="Q400" s="245">
        <v>10</v>
      </c>
      <c r="R400" s="30">
        <f t="shared" si="49"/>
        <v>16.658333333333335</v>
      </c>
      <c r="S400" s="5">
        <v>1632.5166666666669</v>
      </c>
      <c r="T400" s="313">
        <f t="shared" si="50"/>
        <v>1649.1750000000002</v>
      </c>
      <c r="U400" s="15">
        <f t="shared" si="51"/>
        <v>16.658333333333303</v>
      </c>
      <c r="V400" s="313">
        <f t="shared" si="52"/>
        <v>350.82499999999982</v>
      </c>
      <c r="X400" s="312"/>
      <c r="Y400" s="313"/>
      <c r="Z400" s="114">
        <f t="shared" si="53"/>
        <v>99</v>
      </c>
    </row>
    <row r="401" spans="1:26" s="245" customFormat="1" x14ac:dyDescent="0.25">
      <c r="A401" s="97" t="s">
        <v>1739</v>
      </c>
      <c r="B401" s="97" t="s">
        <v>1740</v>
      </c>
      <c r="C401" s="97" t="s">
        <v>1741</v>
      </c>
      <c r="D401" s="97" t="s">
        <v>1742</v>
      </c>
      <c r="E401" s="97"/>
      <c r="F401" s="97" t="s">
        <v>1743</v>
      </c>
      <c r="G401" s="132" t="str">
        <f t="shared" si="48"/>
        <v>12/6/2007</v>
      </c>
      <c r="H401" s="133">
        <v>12</v>
      </c>
      <c r="I401" s="133">
        <v>6</v>
      </c>
      <c r="J401" s="134">
        <v>2007</v>
      </c>
      <c r="K401" s="97" t="s">
        <v>1707</v>
      </c>
      <c r="L401" s="97"/>
      <c r="M401" s="97" t="s">
        <v>796</v>
      </c>
      <c r="N401" s="311">
        <v>4193.3999999999996</v>
      </c>
      <c r="O401" s="311"/>
      <c r="Q401" s="245">
        <v>10</v>
      </c>
      <c r="R401" s="30">
        <f t="shared" si="49"/>
        <v>34.93666666666666</v>
      </c>
      <c r="S401" s="5">
        <v>3563.5399999999995</v>
      </c>
      <c r="T401" s="313">
        <f t="shared" si="50"/>
        <v>3598.476666666666</v>
      </c>
      <c r="U401" s="15">
        <f t="shared" si="51"/>
        <v>34.936666666666497</v>
      </c>
      <c r="V401" s="313">
        <f t="shared" si="52"/>
        <v>594.92333333333363</v>
      </c>
      <c r="W401" s="245">
        <v>9683</v>
      </c>
      <c r="X401" s="312"/>
      <c r="Y401" s="313"/>
      <c r="Z401" s="114">
        <f t="shared" si="53"/>
        <v>103</v>
      </c>
    </row>
    <row r="402" spans="1:26" s="245" customFormat="1" x14ac:dyDescent="0.25">
      <c r="A402" s="97" t="s">
        <v>1744</v>
      </c>
      <c r="B402" s="97" t="s">
        <v>1740</v>
      </c>
      <c r="C402" s="97" t="s">
        <v>1741</v>
      </c>
      <c r="D402" s="97" t="s">
        <v>1742</v>
      </c>
      <c r="E402" s="97"/>
      <c r="F402" s="97" t="s">
        <v>1743</v>
      </c>
      <c r="G402" s="132" t="str">
        <f t="shared" si="48"/>
        <v>12/6/2007</v>
      </c>
      <c r="H402" s="133">
        <v>12</v>
      </c>
      <c r="I402" s="133">
        <v>6</v>
      </c>
      <c r="J402" s="134">
        <v>2007</v>
      </c>
      <c r="K402" s="97" t="s">
        <v>1707</v>
      </c>
      <c r="L402" s="97"/>
      <c r="M402" s="97" t="s">
        <v>796</v>
      </c>
      <c r="N402" s="311">
        <v>4193.3999999999996</v>
      </c>
      <c r="O402" s="311"/>
      <c r="Q402" s="245">
        <v>10</v>
      </c>
      <c r="R402" s="30">
        <f t="shared" si="49"/>
        <v>34.93666666666666</v>
      </c>
      <c r="S402" s="5">
        <v>3563.5399999999995</v>
      </c>
      <c r="T402" s="313">
        <f t="shared" si="50"/>
        <v>3598.476666666666</v>
      </c>
      <c r="U402" s="15">
        <f t="shared" si="51"/>
        <v>34.936666666666497</v>
      </c>
      <c r="V402" s="313">
        <f t="shared" si="52"/>
        <v>594.92333333333363</v>
      </c>
      <c r="W402" s="245">
        <v>9683</v>
      </c>
      <c r="X402" s="312"/>
      <c r="Y402" s="313"/>
      <c r="Z402" s="114">
        <f t="shared" si="53"/>
        <v>103</v>
      </c>
    </row>
    <row r="403" spans="1:26" s="245" customFormat="1" x14ac:dyDescent="0.25">
      <c r="A403" s="97" t="s">
        <v>1745</v>
      </c>
      <c r="B403" s="97" t="s">
        <v>1740</v>
      </c>
      <c r="C403" s="97" t="s">
        <v>1741</v>
      </c>
      <c r="D403" s="97" t="s">
        <v>1742</v>
      </c>
      <c r="E403" s="97"/>
      <c r="F403" s="97" t="s">
        <v>1743</v>
      </c>
      <c r="G403" s="132" t="str">
        <f t="shared" si="48"/>
        <v>12/6/2007</v>
      </c>
      <c r="H403" s="133">
        <v>12</v>
      </c>
      <c r="I403" s="133">
        <v>6</v>
      </c>
      <c r="J403" s="134">
        <v>2007</v>
      </c>
      <c r="K403" s="97" t="s">
        <v>1707</v>
      </c>
      <c r="L403" s="97"/>
      <c r="M403" s="97" t="s">
        <v>796</v>
      </c>
      <c r="N403" s="311">
        <v>4193.3999999999996</v>
      </c>
      <c r="O403" s="311"/>
      <c r="Q403" s="245">
        <v>10</v>
      </c>
      <c r="R403" s="30">
        <f t="shared" si="49"/>
        <v>34.93666666666666</v>
      </c>
      <c r="S403" s="5">
        <v>3563.5399999999995</v>
      </c>
      <c r="T403" s="313">
        <f t="shared" si="50"/>
        <v>3598.476666666666</v>
      </c>
      <c r="U403" s="15">
        <f t="shared" si="51"/>
        <v>34.936666666666497</v>
      </c>
      <c r="V403" s="313">
        <f t="shared" si="52"/>
        <v>594.92333333333363</v>
      </c>
      <c r="W403" s="245">
        <v>9683</v>
      </c>
      <c r="X403" s="312"/>
      <c r="Y403" s="313"/>
      <c r="Z403" s="114">
        <f t="shared" si="53"/>
        <v>103</v>
      </c>
    </row>
    <row r="404" spans="1:26" s="245" customFormat="1" x14ac:dyDescent="0.25">
      <c r="A404" s="97" t="s">
        <v>1746</v>
      </c>
      <c r="B404" s="97" t="s">
        <v>1415</v>
      </c>
      <c r="C404" s="97"/>
      <c r="D404" s="97"/>
      <c r="E404" s="97"/>
      <c r="F404" s="97" t="s">
        <v>1747</v>
      </c>
      <c r="G404" s="132" t="str">
        <f t="shared" si="48"/>
        <v>22/6/2007</v>
      </c>
      <c r="H404" s="133">
        <v>22</v>
      </c>
      <c r="I404" s="133">
        <v>6</v>
      </c>
      <c r="J404" s="134">
        <v>2007</v>
      </c>
      <c r="K404" s="97" t="s">
        <v>1748</v>
      </c>
      <c r="L404" s="97">
        <v>17257</v>
      </c>
      <c r="M404" s="97" t="s">
        <v>796</v>
      </c>
      <c r="N404" s="311">
        <v>1999.95</v>
      </c>
      <c r="O404" s="311"/>
      <c r="Q404" s="245">
        <v>10</v>
      </c>
      <c r="R404" s="30">
        <f t="shared" si="49"/>
        <v>16.657916666666669</v>
      </c>
      <c r="S404" s="5">
        <v>1699.1075000000003</v>
      </c>
      <c r="T404" s="313">
        <f t="shared" si="50"/>
        <v>1715.7654166666669</v>
      </c>
      <c r="U404" s="15">
        <f t="shared" si="51"/>
        <v>16.657916666666551</v>
      </c>
      <c r="V404" s="313">
        <f t="shared" si="52"/>
        <v>284.18458333333319</v>
      </c>
      <c r="W404" s="245">
        <v>9714</v>
      </c>
      <c r="X404" s="312"/>
      <c r="Y404" s="313"/>
      <c r="Z404" s="114">
        <f t="shared" si="53"/>
        <v>103</v>
      </c>
    </row>
    <row r="405" spans="1:26" s="245" customFormat="1" x14ac:dyDescent="0.25">
      <c r="A405" s="97" t="s">
        <v>1749</v>
      </c>
      <c r="B405" s="97" t="s">
        <v>1750</v>
      </c>
      <c r="C405" s="97"/>
      <c r="D405" s="97"/>
      <c r="E405" s="97"/>
      <c r="F405" s="97" t="s">
        <v>847</v>
      </c>
      <c r="G405" s="132" t="str">
        <f t="shared" si="48"/>
        <v>26/11/2007</v>
      </c>
      <c r="H405" s="133">
        <v>26</v>
      </c>
      <c r="I405" s="133">
        <v>11</v>
      </c>
      <c r="J405" s="134">
        <v>2007</v>
      </c>
      <c r="K405" s="97" t="s">
        <v>931</v>
      </c>
      <c r="L405" s="97">
        <v>1913</v>
      </c>
      <c r="M405" s="97" t="s">
        <v>796</v>
      </c>
      <c r="N405" s="311">
        <v>7609.6</v>
      </c>
      <c r="O405" s="311"/>
      <c r="Q405" s="245">
        <v>10</v>
      </c>
      <c r="R405" s="30">
        <f t="shared" si="49"/>
        <v>63.405000000000001</v>
      </c>
      <c r="S405" s="5">
        <v>6150.2849999999999</v>
      </c>
      <c r="T405" s="313">
        <f t="shared" si="50"/>
        <v>6213.6900000000005</v>
      </c>
      <c r="U405" s="15">
        <f t="shared" si="51"/>
        <v>63.405000000000655</v>
      </c>
      <c r="V405" s="313">
        <f t="shared" si="52"/>
        <v>1395.9099999999999</v>
      </c>
      <c r="W405" s="245">
        <v>10391</v>
      </c>
      <c r="X405" s="312"/>
      <c r="Y405" s="313"/>
      <c r="Z405" s="114">
        <f t="shared" si="53"/>
        <v>98</v>
      </c>
    </row>
    <row r="406" spans="1:26" s="245" customFormat="1" x14ac:dyDescent="0.25">
      <c r="A406" s="97" t="s">
        <v>1749</v>
      </c>
      <c r="B406" s="97" t="s">
        <v>1751</v>
      </c>
      <c r="C406" s="97"/>
      <c r="D406" s="97"/>
      <c r="E406" s="97"/>
      <c r="F406" s="97" t="s">
        <v>847</v>
      </c>
      <c r="G406" s="132" t="str">
        <f t="shared" si="48"/>
        <v>26/11/2007</v>
      </c>
      <c r="H406" s="133">
        <v>26</v>
      </c>
      <c r="I406" s="133">
        <v>11</v>
      </c>
      <c r="J406" s="134">
        <v>2007</v>
      </c>
      <c r="K406" s="97" t="s">
        <v>931</v>
      </c>
      <c r="L406" s="97">
        <v>1913</v>
      </c>
      <c r="M406" s="97" t="s">
        <v>796</v>
      </c>
      <c r="N406" s="311">
        <v>3990.4</v>
      </c>
      <c r="O406" s="311"/>
      <c r="Q406" s="245">
        <v>10</v>
      </c>
      <c r="R406" s="30">
        <f t="shared" si="49"/>
        <v>33.244999999999997</v>
      </c>
      <c r="S406" s="5">
        <v>3224.7649999999999</v>
      </c>
      <c r="T406" s="313">
        <f t="shared" si="50"/>
        <v>3258.0099999999998</v>
      </c>
      <c r="U406" s="15">
        <f t="shared" si="51"/>
        <v>33.244999999999891</v>
      </c>
      <c r="V406" s="313">
        <f t="shared" si="52"/>
        <v>732.39000000000033</v>
      </c>
      <c r="W406" s="245">
        <v>10391</v>
      </c>
      <c r="X406" s="312"/>
      <c r="Y406" s="313"/>
      <c r="Z406" s="114">
        <f t="shared" si="53"/>
        <v>98</v>
      </c>
    </row>
    <row r="407" spans="1:26" s="245" customFormat="1" x14ac:dyDescent="0.25">
      <c r="A407" s="97" t="s">
        <v>1752</v>
      </c>
      <c r="B407" s="97" t="s">
        <v>1753</v>
      </c>
      <c r="C407" s="97"/>
      <c r="D407" s="97"/>
      <c r="E407" s="97"/>
      <c r="F407" s="97" t="s">
        <v>865</v>
      </c>
      <c r="G407" s="132" t="str">
        <f t="shared" si="48"/>
        <v>17/12/2007</v>
      </c>
      <c r="H407" s="133">
        <v>17</v>
      </c>
      <c r="I407" s="133">
        <v>12</v>
      </c>
      <c r="J407" s="134">
        <v>2007</v>
      </c>
      <c r="K407" s="97" t="s">
        <v>56</v>
      </c>
      <c r="L407" s="97">
        <v>150028</v>
      </c>
      <c r="M407" s="97" t="s">
        <v>796</v>
      </c>
      <c r="N407" s="311">
        <v>814.78</v>
      </c>
      <c r="O407" s="311"/>
      <c r="Q407" s="245">
        <v>10</v>
      </c>
      <c r="R407" s="30">
        <f t="shared" si="49"/>
        <v>6.7815000000000003</v>
      </c>
      <c r="S407" s="5">
        <v>651.024</v>
      </c>
      <c r="T407" s="313">
        <f t="shared" si="50"/>
        <v>657.80550000000005</v>
      </c>
      <c r="U407" s="15">
        <f t="shared" si="51"/>
        <v>6.7815000000000509</v>
      </c>
      <c r="V407" s="313">
        <f t="shared" si="52"/>
        <v>156.97449999999992</v>
      </c>
      <c r="W407" s="245">
        <v>10414</v>
      </c>
      <c r="X407" s="312"/>
      <c r="Y407" s="313"/>
      <c r="Z407" s="114">
        <f t="shared" si="53"/>
        <v>97</v>
      </c>
    </row>
    <row r="408" spans="1:26" s="245" customFormat="1" x14ac:dyDescent="0.25">
      <c r="A408" s="97" t="s">
        <v>1754</v>
      </c>
      <c r="B408" s="97" t="s">
        <v>1753</v>
      </c>
      <c r="C408" s="97"/>
      <c r="D408" s="97"/>
      <c r="E408" s="97"/>
      <c r="F408" s="97" t="s">
        <v>865</v>
      </c>
      <c r="G408" s="132" t="str">
        <f t="shared" si="48"/>
        <v>17/12/2007</v>
      </c>
      <c r="H408" s="133">
        <v>17</v>
      </c>
      <c r="I408" s="133">
        <v>12</v>
      </c>
      <c r="J408" s="134">
        <v>2007</v>
      </c>
      <c r="K408" s="97" t="s">
        <v>56</v>
      </c>
      <c r="L408" s="97">
        <v>150028</v>
      </c>
      <c r="M408" s="97" t="s">
        <v>796</v>
      </c>
      <c r="N408" s="311">
        <v>814.78</v>
      </c>
      <c r="O408" s="311"/>
      <c r="Q408" s="245">
        <v>10</v>
      </c>
      <c r="R408" s="30">
        <f t="shared" si="49"/>
        <v>6.7815000000000003</v>
      </c>
      <c r="S408" s="5">
        <v>651.024</v>
      </c>
      <c r="T408" s="313">
        <f t="shared" si="50"/>
        <v>657.80550000000005</v>
      </c>
      <c r="U408" s="15">
        <f t="shared" si="51"/>
        <v>6.7815000000000509</v>
      </c>
      <c r="V408" s="313">
        <f t="shared" si="52"/>
        <v>156.97449999999992</v>
      </c>
      <c r="W408" s="245">
        <v>10414</v>
      </c>
      <c r="X408" s="312"/>
      <c r="Y408" s="313"/>
      <c r="Z408" s="114">
        <f t="shared" si="53"/>
        <v>97</v>
      </c>
    </row>
    <row r="409" spans="1:26" s="245" customFormat="1" x14ac:dyDescent="0.25">
      <c r="A409" s="97" t="s">
        <v>1755</v>
      </c>
      <c r="B409" s="97" t="s">
        <v>1753</v>
      </c>
      <c r="C409" s="97"/>
      <c r="D409" s="97"/>
      <c r="E409" s="97"/>
      <c r="F409" s="97" t="s">
        <v>865</v>
      </c>
      <c r="G409" s="132" t="str">
        <f t="shared" si="48"/>
        <v>17/12/2007</v>
      </c>
      <c r="H409" s="133">
        <v>17</v>
      </c>
      <c r="I409" s="133">
        <v>12</v>
      </c>
      <c r="J409" s="134">
        <v>2007</v>
      </c>
      <c r="K409" s="97" t="s">
        <v>56</v>
      </c>
      <c r="L409" s="97">
        <v>150028</v>
      </c>
      <c r="M409" s="97" t="s">
        <v>796</v>
      </c>
      <c r="N409" s="311">
        <v>814.78</v>
      </c>
      <c r="O409" s="311"/>
      <c r="Q409" s="245">
        <v>10</v>
      </c>
      <c r="R409" s="30">
        <f t="shared" si="49"/>
        <v>6.7815000000000003</v>
      </c>
      <c r="S409" s="5">
        <v>651.024</v>
      </c>
      <c r="T409" s="313">
        <f t="shared" si="50"/>
        <v>657.80550000000005</v>
      </c>
      <c r="U409" s="15">
        <f t="shared" si="51"/>
        <v>6.7815000000000509</v>
      </c>
      <c r="V409" s="313">
        <f t="shared" si="52"/>
        <v>156.97449999999992</v>
      </c>
      <c r="W409" s="245">
        <v>10414</v>
      </c>
      <c r="X409" s="312"/>
      <c r="Y409" s="313"/>
      <c r="Z409" s="114">
        <f t="shared" si="53"/>
        <v>97</v>
      </c>
    </row>
    <row r="410" spans="1:26" s="245" customFormat="1" x14ac:dyDescent="0.25">
      <c r="A410" s="97" t="s">
        <v>1756</v>
      </c>
      <c r="B410" s="97" t="s">
        <v>1757</v>
      </c>
      <c r="C410" s="97"/>
      <c r="D410" s="97"/>
      <c r="E410" s="97"/>
      <c r="F410" s="97" t="s">
        <v>865</v>
      </c>
      <c r="G410" s="132" t="str">
        <f t="shared" si="48"/>
        <v>11/12/2007</v>
      </c>
      <c r="H410" s="133">
        <v>11</v>
      </c>
      <c r="I410" s="133">
        <v>12</v>
      </c>
      <c r="J410" s="134">
        <v>2007</v>
      </c>
      <c r="K410" s="97" t="s">
        <v>931</v>
      </c>
      <c r="L410" s="97">
        <v>1927</v>
      </c>
      <c r="M410" s="97" t="s">
        <v>796</v>
      </c>
      <c r="N410" s="311">
        <f>4092.48-1.7</f>
        <v>4090.78</v>
      </c>
      <c r="O410" s="311"/>
      <c r="Q410" s="245">
        <v>10</v>
      </c>
      <c r="R410" s="30">
        <f t="shared" si="49"/>
        <v>34.081499999999998</v>
      </c>
      <c r="S410" s="5">
        <v>3271.8239999999996</v>
      </c>
      <c r="T410" s="313">
        <f t="shared" si="50"/>
        <v>3305.9054999999998</v>
      </c>
      <c r="U410" s="15">
        <f t="shared" si="51"/>
        <v>34.081500000000233</v>
      </c>
      <c r="V410" s="313">
        <f t="shared" si="52"/>
        <v>784.87450000000035</v>
      </c>
      <c r="W410" s="245">
        <v>10394</v>
      </c>
      <c r="X410" s="312"/>
      <c r="Y410" s="313"/>
      <c r="Z410" s="114">
        <f t="shared" si="53"/>
        <v>97</v>
      </c>
    </row>
    <row r="411" spans="1:26" s="245" customFormat="1" x14ac:dyDescent="0.25">
      <c r="A411" s="22" t="s">
        <v>239</v>
      </c>
      <c r="B411" s="97"/>
      <c r="C411" s="97"/>
      <c r="D411" s="97"/>
      <c r="E411" s="97"/>
      <c r="F411" s="97"/>
      <c r="G411" s="132"/>
      <c r="H411" s="133"/>
      <c r="I411" s="133"/>
      <c r="J411" s="134"/>
      <c r="K411" s="97"/>
      <c r="L411" s="134"/>
      <c r="M411" s="97"/>
      <c r="N411" s="26">
        <f>SUM(N335:N410)</f>
        <v>397081.52999999974</v>
      </c>
      <c r="O411" s="26">
        <f t="shared" ref="O411:V411" si="54">SUM(O335:O410)</f>
        <v>0</v>
      </c>
      <c r="P411" s="26">
        <f t="shared" si="54"/>
        <v>0</v>
      </c>
      <c r="Q411" s="28"/>
      <c r="R411" s="26">
        <f t="shared" si="54"/>
        <v>3308.3794166666685</v>
      </c>
      <c r="S411" s="26">
        <v>331039.83958333294</v>
      </c>
      <c r="T411" s="26">
        <f t="shared" si="54"/>
        <v>334348.21899999992</v>
      </c>
      <c r="U411" s="26">
        <f t="shared" si="54"/>
        <v>3308.3794166666789</v>
      </c>
      <c r="V411" s="26">
        <f t="shared" si="54"/>
        <v>62733.311000000009</v>
      </c>
      <c r="X411" s="312"/>
      <c r="Y411" s="313"/>
      <c r="Z411" s="114"/>
    </row>
    <row r="412" spans="1:26" s="245" customFormat="1" x14ac:dyDescent="0.25">
      <c r="A412" s="97"/>
      <c r="B412" s="97"/>
      <c r="C412" s="97"/>
      <c r="D412" s="97"/>
      <c r="E412" s="97"/>
      <c r="F412" s="97"/>
      <c r="G412" s="132"/>
      <c r="H412" s="133"/>
      <c r="I412" s="133"/>
      <c r="J412" s="134"/>
      <c r="K412" s="97"/>
      <c r="L412" s="97"/>
      <c r="M412" s="97"/>
      <c r="N412" s="311"/>
      <c r="O412" s="311"/>
      <c r="R412" s="30"/>
      <c r="S412" s="30"/>
      <c r="T412" s="313"/>
      <c r="U412" s="313"/>
      <c r="V412" s="313"/>
      <c r="X412" s="312"/>
      <c r="Y412" s="313"/>
      <c r="Z412" s="114"/>
    </row>
    <row r="413" spans="1:26" s="245" customFormat="1" x14ac:dyDescent="0.25">
      <c r="A413" s="22" t="s">
        <v>240</v>
      </c>
      <c r="B413" s="97"/>
      <c r="C413" s="97"/>
      <c r="D413" s="97"/>
      <c r="E413" s="97"/>
      <c r="F413" s="97"/>
      <c r="G413" s="132"/>
      <c r="H413" s="133"/>
      <c r="I413" s="133"/>
      <c r="J413" s="134"/>
      <c r="K413" s="97"/>
      <c r="L413" s="97"/>
      <c r="M413" s="97"/>
      <c r="N413" s="29">
        <f>+N411+N333</f>
        <v>2605504.4199999976</v>
      </c>
      <c r="O413" s="29">
        <f t="shared" ref="O413:V413" si="55">+O411+O333</f>
        <v>0</v>
      </c>
      <c r="P413" s="29">
        <f t="shared" si="55"/>
        <v>0</v>
      </c>
      <c r="Q413" s="28"/>
      <c r="R413" s="29">
        <f t="shared" si="55"/>
        <v>5102.2783333333355</v>
      </c>
      <c r="S413" s="29">
        <v>2526332.390749997</v>
      </c>
      <c r="T413" s="29">
        <f t="shared" si="55"/>
        <v>2531434.6690833312</v>
      </c>
      <c r="U413" s="29">
        <f t="shared" si="55"/>
        <v>5102.2783333333482</v>
      </c>
      <c r="V413" s="29">
        <f t="shared" si="55"/>
        <v>74069.750916666657</v>
      </c>
      <c r="X413" s="312"/>
      <c r="Y413" s="313"/>
      <c r="Z413" s="114"/>
    </row>
    <row r="414" spans="1:26" s="245" customFormat="1" x14ac:dyDescent="0.25">
      <c r="A414" s="97"/>
      <c r="B414" s="97"/>
      <c r="C414" s="97"/>
      <c r="D414" s="97"/>
      <c r="E414" s="97"/>
      <c r="F414" s="97"/>
      <c r="G414" s="132"/>
      <c r="H414" s="133"/>
      <c r="I414" s="133"/>
      <c r="J414" s="134"/>
      <c r="K414" s="97"/>
      <c r="L414" s="97"/>
      <c r="M414" s="97"/>
      <c r="N414" s="311"/>
      <c r="O414" s="311"/>
      <c r="R414" s="30"/>
      <c r="S414" s="30"/>
      <c r="T414" s="313"/>
      <c r="U414" s="313"/>
      <c r="V414" s="313"/>
      <c r="X414" s="312"/>
      <c r="Y414" s="313"/>
      <c r="Z414" s="114"/>
    </row>
    <row r="415" spans="1:26" s="245" customFormat="1" x14ac:dyDescent="0.25">
      <c r="A415" s="245" t="s">
        <v>1758</v>
      </c>
      <c r="B415" s="245" t="s">
        <v>1759</v>
      </c>
      <c r="E415" s="97"/>
      <c r="F415" s="97" t="s">
        <v>1760</v>
      </c>
      <c r="G415" s="132" t="str">
        <f t="shared" ref="G415:G478" si="56">CONCATENATE(H415,"/",I415,"/",J415,)</f>
        <v>18/1/2008</v>
      </c>
      <c r="H415" s="245">
        <v>18</v>
      </c>
      <c r="I415" s="245">
        <v>1</v>
      </c>
      <c r="J415" s="245">
        <v>2008</v>
      </c>
      <c r="M415" s="245" t="s">
        <v>796</v>
      </c>
      <c r="N415" s="349">
        <v>37120</v>
      </c>
      <c r="O415" s="348" t="s">
        <v>1094</v>
      </c>
      <c r="Q415" s="245">
        <v>10</v>
      </c>
      <c r="R415" s="30">
        <f t="shared" ref="R415:R478" si="57">(((N415)-1)/10)/12</f>
        <v>309.32499999999999</v>
      </c>
      <c r="S415" s="5">
        <v>29385.875</v>
      </c>
      <c r="T415" s="313">
        <f t="shared" ref="T415:T478" si="58">Z415*R415</f>
        <v>29695.199999999997</v>
      </c>
      <c r="U415" s="15">
        <f t="shared" ref="U415:U478" si="59">T415-S415</f>
        <v>309.32499999999709</v>
      </c>
      <c r="V415" s="313">
        <f t="shared" ref="V415:V478" si="60">N415-T415</f>
        <v>7424.8000000000029</v>
      </c>
      <c r="W415" s="245">
        <v>10571</v>
      </c>
      <c r="X415" s="312"/>
      <c r="Y415" s="313"/>
      <c r="Z415" s="114">
        <f t="shared" ref="Z415:Z478" si="61">IF((DATEDIF(G415,Z$4,"m"))&gt;=120,120,(DATEDIF(G415,Z$4,"m")))</f>
        <v>96</v>
      </c>
    </row>
    <row r="416" spans="1:26" s="245" customFormat="1" x14ac:dyDescent="0.25">
      <c r="A416" s="245" t="s">
        <v>1761</v>
      </c>
      <c r="B416" s="245" t="s">
        <v>1762</v>
      </c>
      <c r="D416" s="245" t="s">
        <v>1763</v>
      </c>
      <c r="E416" s="97"/>
      <c r="F416" s="97" t="s">
        <v>1764</v>
      </c>
      <c r="G416" s="132" t="str">
        <f t="shared" si="56"/>
        <v>26/3/2008</v>
      </c>
      <c r="H416" s="245">
        <v>26</v>
      </c>
      <c r="I416" s="245">
        <v>3</v>
      </c>
      <c r="J416" s="245">
        <v>2008</v>
      </c>
      <c r="K416" s="245" t="s">
        <v>1765</v>
      </c>
      <c r="L416" s="97"/>
      <c r="M416" s="245" t="s">
        <v>796</v>
      </c>
      <c r="N416" s="349">
        <v>4707.28</v>
      </c>
      <c r="O416" s="349"/>
      <c r="Q416" s="245">
        <v>10</v>
      </c>
      <c r="R416" s="30">
        <f t="shared" si="57"/>
        <v>39.219000000000001</v>
      </c>
      <c r="S416" s="5">
        <v>3647.3670000000002</v>
      </c>
      <c r="T416" s="313">
        <f t="shared" si="58"/>
        <v>3686.5860000000002</v>
      </c>
      <c r="U416" s="15">
        <f t="shared" si="59"/>
        <v>39.219000000000051</v>
      </c>
      <c r="V416" s="313">
        <f t="shared" si="60"/>
        <v>1020.6939999999995</v>
      </c>
      <c r="W416" s="245">
        <v>10793</v>
      </c>
      <c r="X416" s="312"/>
      <c r="Y416" s="313"/>
      <c r="Z416" s="114">
        <f t="shared" si="61"/>
        <v>94</v>
      </c>
    </row>
    <row r="417" spans="1:26" s="245" customFormat="1" x14ac:dyDescent="0.25">
      <c r="A417" s="245" t="s">
        <v>1766</v>
      </c>
      <c r="B417" s="245" t="s">
        <v>1767</v>
      </c>
      <c r="D417" s="245" t="s">
        <v>1768</v>
      </c>
      <c r="E417" s="97"/>
      <c r="F417" s="97" t="s">
        <v>1764</v>
      </c>
      <c r="G417" s="132" t="str">
        <f t="shared" si="56"/>
        <v>26/3/2008</v>
      </c>
      <c r="H417" s="245">
        <v>26</v>
      </c>
      <c r="I417" s="245">
        <v>3</v>
      </c>
      <c r="J417" s="245">
        <v>2008</v>
      </c>
      <c r="K417" s="245" t="s">
        <v>1765</v>
      </c>
      <c r="L417" s="97"/>
      <c r="M417" s="245" t="s">
        <v>796</v>
      </c>
      <c r="N417" s="349">
        <v>4019.4</v>
      </c>
      <c r="O417" s="349"/>
      <c r="Q417" s="245">
        <v>10</v>
      </c>
      <c r="R417" s="30">
        <f t="shared" si="57"/>
        <v>33.486666666666672</v>
      </c>
      <c r="S417" s="5">
        <v>3114.2600000000007</v>
      </c>
      <c r="T417" s="313">
        <f t="shared" si="58"/>
        <v>3147.7466666666674</v>
      </c>
      <c r="U417" s="15">
        <f t="shared" si="59"/>
        <v>33.486666666666679</v>
      </c>
      <c r="V417" s="313">
        <f t="shared" si="60"/>
        <v>871.65333333333274</v>
      </c>
      <c r="W417" s="245">
        <v>10793</v>
      </c>
      <c r="X417" s="312"/>
      <c r="Y417" s="313"/>
      <c r="Z417" s="114">
        <f t="shared" si="61"/>
        <v>94</v>
      </c>
    </row>
    <row r="418" spans="1:26" s="245" customFormat="1" x14ac:dyDescent="0.25">
      <c r="A418" s="245" t="s">
        <v>1769</v>
      </c>
      <c r="B418" s="245" t="s">
        <v>1770</v>
      </c>
      <c r="D418" s="245" t="s">
        <v>1771</v>
      </c>
      <c r="E418" s="97"/>
      <c r="F418" s="97" t="s">
        <v>1764</v>
      </c>
      <c r="G418" s="132" t="str">
        <f t="shared" si="56"/>
        <v>26/3/2008</v>
      </c>
      <c r="H418" s="245">
        <v>26</v>
      </c>
      <c r="I418" s="245">
        <v>3</v>
      </c>
      <c r="J418" s="245">
        <v>2008</v>
      </c>
      <c r="K418" s="245" t="s">
        <v>1765</v>
      </c>
      <c r="L418" s="97"/>
      <c r="M418" s="245" t="s">
        <v>796</v>
      </c>
      <c r="N418" s="349">
        <v>1147.24</v>
      </c>
      <c r="O418" s="349"/>
      <c r="Q418" s="245">
        <v>10</v>
      </c>
      <c r="R418" s="30">
        <f t="shared" si="57"/>
        <v>9.5519999999999996</v>
      </c>
      <c r="S418" s="5">
        <v>888.33600000000001</v>
      </c>
      <c r="T418" s="313">
        <f t="shared" si="58"/>
        <v>897.88799999999992</v>
      </c>
      <c r="U418" s="15">
        <f t="shared" si="59"/>
        <v>9.5519999999999072</v>
      </c>
      <c r="V418" s="313">
        <f t="shared" si="60"/>
        <v>249.35200000000009</v>
      </c>
      <c r="W418" s="245">
        <v>10793</v>
      </c>
      <c r="X418" s="312"/>
      <c r="Y418" s="313"/>
      <c r="Z418" s="114">
        <f t="shared" si="61"/>
        <v>94</v>
      </c>
    </row>
    <row r="419" spans="1:26" s="245" customFormat="1" x14ac:dyDescent="0.25">
      <c r="A419" s="245" t="s">
        <v>1772</v>
      </c>
      <c r="B419" s="245" t="s">
        <v>1770</v>
      </c>
      <c r="D419" s="245" t="s">
        <v>1771</v>
      </c>
      <c r="E419" s="97"/>
      <c r="F419" s="97" t="s">
        <v>1764</v>
      </c>
      <c r="G419" s="132" t="str">
        <f t="shared" si="56"/>
        <v>26/3/2008</v>
      </c>
      <c r="H419" s="245">
        <v>26</v>
      </c>
      <c r="I419" s="245">
        <v>3</v>
      </c>
      <c r="J419" s="245">
        <v>2008</v>
      </c>
      <c r="K419" s="245" t="s">
        <v>1765</v>
      </c>
      <c r="L419" s="97"/>
      <c r="M419" s="245" t="s">
        <v>796</v>
      </c>
      <c r="N419" s="349">
        <v>1147.24</v>
      </c>
      <c r="O419" s="349"/>
      <c r="Q419" s="245">
        <v>10</v>
      </c>
      <c r="R419" s="30">
        <f t="shared" si="57"/>
        <v>9.5519999999999996</v>
      </c>
      <c r="S419" s="5">
        <v>888.33600000000001</v>
      </c>
      <c r="T419" s="313">
        <f t="shared" si="58"/>
        <v>897.88799999999992</v>
      </c>
      <c r="U419" s="15">
        <f t="shared" si="59"/>
        <v>9.5519999999999072</v>
      </c>
      <c r="V419" s="313">
        <f t="shared" si="60"/>
        <v>249.35200000000009</v>
      </c>
      <c r="W419" s="245">
        <v>10793</v>
      </c>
      <c r="X419" s="312"/>
      <c r="Y419" s="313"/>
      <c r="Z419" s="114">
        <f t="shared" si="61"/>
        <v>94</v>
      </c>
    </row>
    <row r="420" spans="1:26" s="245" customFormat="1" x14ac:dyDescent="0.25">
      <c r="A420" s="245" t="s">
        <v>1773</v>
      </c>
      <c r="B420" s="245" t="s">
        <v>1774</v>
      </c>
      <c r="D420" s="97">
        <v>1000</v>
      </c>
      <c r="E420" s="97"/>
      <c r="F420" s="97" t="s">
        <v>1764</v>
      </c>
      <c r="G420" s="132" t="str">
        <f t="shared" si="56"/>
        <v>26/3/2008</v>
      </c>
      <c r="H420" s="245">
        <v>26</v>
      </c>
      <c r="I420" s="245">
        <v>3</v>
      </c>
      <c r="J420" s="245">
        <v>2008</v>
      </c>
      <c r="K420" s="245" t="s">
        <v>1765</v>
      </c>
      <c r="L420" s="97"/>
      <c r="M420" s="245" t="s">
        <v>796</v>
      </c>
      <c r="N420" s="349">
        <v>5491.44</v>
      </c>
      <c r="O420" s="349"/>
      <c r="Q420" s="245">
        <v>10</v>
      </c>
      <c r="R420" s="30">
        <f t="shared" si="57"/>
        <v>45.753666666666668</v>
      </c>
      <c r="S420" s="5">
        <v>4255.0910000000003</v>
      </c>
      <c r="T420" s="313">
        <f t="shared" si="58"/>
        <v>4300.8446666666669</v>
      </c>
      <c r="U420" s="15">
        <f t="shared" si="59"/>
        <v>45.753666666666504</v>
      </c>
      <c r="V420" s="313">
        <f t="shared" si="60"/>
        <v>1190.5953333333327</v>
      </c>
      <c r="W420" s="245">
        <v>10793</v>
      </c>
      <c r="X420" s="312"/>
      <c r="Y420" s="313"/>
      <c r="Z420" s="114">
        <f t="shared" si="61"/>
        <v>94</v>
      </c>
    </row>
    <row r="421" spans="1:26" s="245" customFormat="1" x14ac:dyDescent="0.25">
      <c r="A421" s="245" t="s">
        <v>1775</v>
      </c>
      <c r="B421" s="245" t="s">
        <v>1774</v>
      </c>
      <c r="D421" s="97">
        <v>1000</v>
      </c>
      <c r="E421" s="97"/>
      <c r="F421" s="97" t="s">
        <v>1764</v>
      </c>
      <c r="G421" s="132" t="str">
        <f t="shared" si="56"/>
        <v>26/3/2008</v>
      </c>
      <c r="H421" s="245">
        <v>26</v>
      </c>
      <c r="I421" s="245">
        <v>3</v>
      </c>
      <c r="J421" s="245">
        <v>2008</v>
      </c>
      <c r="K421" s="245" t="s">
        <v>1765</v>
      </c>
      <c r="L421" s="97"/>
      <c r="M421" s="245" t="s">
        <v>796</v>
      </c>
      <c r="N421" s="349">
        <v>5491.44</v>
      </c>
      <c r="O421" s="349"/>
      <c r="Q421" s="245">
        <v>10</v>
      </c>
      <c r="R421" s="30">
        <f t="shared" si="57"/>
        <v>45.753666666666668</v>
      </c>
      <c r="S421" s="5">
        <v>4255.0910000000003</v>
      </c>
      <c r="T421" s="313">
        <f t="shared" si="58"/>
        <v>4300.8446666666669</v>
      </c>
      <c r="U421" s="15">
        <f t="shared" si="59"/>
        <v>45.753666666666504</v>
      </c>
      <c r="V421" s="313">
        <f t="shared" si="60"/>
        <v>1190.5953333333327</v>
      </c>
      <c r="W421" s="245">
        <v>10793</v>
      </c>
      <c r="X421" s="312"/>
      <c r="Y421" s="313"/>
      <c r="Z421" s="114">
        <f t="shared" si="61"/>
        <v>94</v>
      </c>
    </row>
    <row r="422" spans="1:26" s="245" customFormat="1" x14ac:dyDescent="0.25">
      <c r="A422" s="245" t="s">
        <v>1776</v>
      </c>
      <c r="B422" s="245" t="s">
        <v>1777</v>
      </c>
      <c r="D422" s="245" t="s">
        <v>1778</v>
      </c>
      <c r="E422" s="97"/>
      <c r="F422" s="97" t="s">
        <v>1764</v>
      </c>
      <c r="G422" s="132" t="str">
        <f t="shared" si="56"/>
        <v>26/3/2008</v>
      </c>
      <c r="H422" s="245">
        <v>26</v>
      </c>
      <c r="I422" s="245">
        <v>3</v>
      </c>
      <c r="J422" s="245">
        <v>2008</v>
      </c>
      <c r="K422" s="245" t="s">
        <v>1765</v>
      </c>
      <c r="L422" s="97"/>
      <c r="M422" s="245" t="s">
        <v>796</v>
      </c>
      <c r="N422" s="349">
        <v>6074.92</v>
      </c>
      <c r="O422" s="349"/>
      <c r="Q422" s="245">
        <v>10</v>
      </c>
      <c r="R422" s="30">
        <f t="shared" si="57"/>
        <v>50.616000000000007</v>
      </c>
      <c r="S422" s="5">
        <v>4707.2880000000005</v>
      </c>
      <c r="T422" s="313">
        <f t="shared" si="58"/>
        <v>4757.9040000000005</v>
      </c>
      <c r="U422" s="15">
        <f t="shared" si="59"/>
        <v>50.615999999999985</v>
      </c>
      <c r="V422" s="313">
        <f t="shared" si="60"/>
        <v>1317.0159999999996</v>
      </c>
      <c r="W422" s="245">
        <v>10793</v>
      </c>
      <c r="X422" s="312"/>
      <c r="Y422" s="313"/>
      <c r="Z422" s="114">
        <f t="shared" si="61"/>
        <v>94</v>
      </c>
    </row>
    <row r="423" spans="1:26" s="245" customFormat="1" x14ac:dyDescent="0.25">
      <c r="A423" s="245" t="s">
        <v>1779</v>
      </c>
      <c r="B423" s="245" t="s">
        <v>1780</v>
      </c>
      <c r="D423" s="245" t="s">
        <v>1778</v>
      </c>
      <c r="E423" s="97"/>
      <c r="F423" s="97" t="s">
        <v>1764</v>
      </c>
      <c r="G423" s="132" t="str">
        <f t="shared" si="56"/>
        <v>26/3/2008</v>
      </c>
      <c r="H423" s="245">
        <v>26</v>
      </c>
      <c r="I423" s="245">
        <v>3</v>
      </c>
      <c r="J423" s="245">
        <v>2008</v>
      </c>
      <c r="K423" s="245" t="s">
        <v>1765</v>
      </c>
      <c r="L423" s="97"/>
      <c r="M423" s="245" t="s">
        <v>796</v>
      </c>
      <c r="N423" s="349">
        <v>6074.92</v>
      </c>
      <c r="O423" s="349"/>
      <c r="Q423" s="245">
        <v>10</v>
      </c>
      <c r="R423" s="30">
        <f t="shared" si="57"/>
        <v>50.616000000000007</v>
      </c>
      <c r="S423" s="5">
        <v>4707.2880000000005</v>
      </c>
      <c r="T423" s="313">
        <f t="shared" si="58"/>
        <v>4757.9040000000005</v>
      </c>
      <c r="U423" s="15">
        <f t="shared" si="59"/>
        <v>50.615999999999985</v>
      </c>
      <c r="V423" s="313">
        <f t="shared" si="60"/>
        <v>1317.0159999999996</v>
      </c>
      <c r="W423" s="245">
        <v>10793</v>
      </c>
      <c r="X423" s="312"/>
      <c r="Y423" s="313"/>
      <c r="Z423" s="114">
        <f t="shared" si="61"/>
        <v>94</v>
      </c>
    </row>
    <row r="424" spans="1:26" s="245" customFormat="1" x14ac:dyDescent="0.25">
      <c r="A424" s="245" t="s">
        <v>1781</v>
      </c>
      <c r="B424" s="245" t="s">
        <v>1782</v>
      </c>
      <c r="D424" s="245" t="s">
        <v>1778</v>
      </c>
      <c r="E424" s="97"/>
      <c r="F424" s="97" t="s">
        <v>1764</v>
      </c>
      <c r="G424" s="132" t="str">
        <f t="shared" si="56"/>
        <v>26/3/2008</v>
      </c>
      <c r="H424" s="245">
        <v>26</v>
      </c>
      <c r="I424" s="245">
        <v>3</v>
      </c>
      <c r="J424" s="245">
        <v>2008</v>
      </c>
      <c r="K424" s="245" t="s">
        <v>1765</v>
      </c>
      <c r="L424" s="97"/>
      <c r="M424" s="245" t="s">
        <v>796</v>
      </c>
      <c r="N424" s="349">
        <v>6074.92</v>
      </c>
      <c r="O424" s="349"/>
      <c r="Q424" s="245">
        <v>10</v>
      </c>
      <c r="R424" s="30">
        <f t="shared" si="57"/>
        <v>50.616000000000007</v>
      </c>
      <c r="S424" s="5">
        <v>4707.2880000000005</v>
      </c>
      <c r="T424" s="313">
        <f t="shared" si="58"/>
        <v>4757.9040000000005</v>
      </c>
      <c r="U424" s="15">
        <f t="shared" si="59"/>
        <v>50.615999999999985</v>
      </c>
      <c r="V424" s="313">
        <f t="shared" si="60"/>
        <v>1317.0159999999996</v>
      </c>
      <c r="W424" s="245">
        <v>10793</v>
      </c>
      <c r="X424" s="312"/>
      <c r="Y424" s="313"/>
      <c r="Z424" s="114">
        <f t="shared" si="61"/>
        <v>94</v>
      </c>
    </row>
    <row r="425" spans="1:26" s="103" customFormat="1" x14ac:dyDescent="0.25">
      <c r="A425" s="103" t="s">
        <v>1783</v>
      </c>
      <c r="B425" s="215" t="s">
        <v>1784</v>
      </c>
      <c r="E425" s="97"/>
      <c r="F425" s="97" t="s">
        <v>1764</v>
      </c>
      <c r="G425" s="132" t="str">
        <f t="shared" si="56"/>
        <v>26/3/2008</v>
      </c>
      <c r="H425" s="103">
        <v>26</v>
      </c>
      <c r="I425" s="103">
        <v>3</v>
      </c>
      <c r="J425" s="103">
        <v>2008</v>
      </c>
      <c r="K425" s="103" t="s">
        <v>1765</v>
      </c>
      <c r="L425" s="97"/>
      <c r="M425" s="103" t="s">
        <v>796</v>
      </c>
      <c r="N425" s="216">
        <v>600.88</v>
      </c>
      <c r="O425" s="216"/>
      <c r="Q425" s="103">
        <v>10</v>
      </c>
      <c r="R425" s="30">
        <f t="shared" si="57"/>
        <v>4.9989999999999997</v>
      </c>
      <c r="S425" s="5">
        <v>464.90699999999998</v>
      </c>
      <c r="T425" s="135">
        <f t="shared" si="58"/>
        <v>469.90599999999995</v>
      </c>
      <c r="U425" s="15">
        <f t="shared" si="59"/>
        <v>4.9989999999999668</v>
      </c>
      <c r="V425" s="135">
        <f t="shared" si="60"/>
        <v>130.97400000000005</v>
      </c>
      <c r="W425" s="103">
        <v>10793</v>
      </c>
      <c r="X425" s="136"/>
      <c r="Y425" s="135"/>
      <c r="Z425" s="114">
        <f t="shared" si="61"/>
        <v>94</v>
      </c>
    </row>
    <row r="426" spans="1:26" s="103" customFormat="1" x14ac:dyDescent="0.25">
      <c r="A426" s="103" t="s">
        <v>1785</v>
      </c>
      <c r="B426" s="215" t="s">
        <v>1784</v>
      </c>
      <c r="E426" s="97"/>
      <c r="F426" s="97" t="s">
        <v>1764</v>
      </c>
      <c r="G426" s="132" t="str">
        <f t="shared" si="56"/>
        <v>26/3/2008</v>
      </c>
      <c r="H426" s="103">
        <v>26</v>
      </c>
      <c r="I426" s="103">
        <v>3</v>
      </c>
      <c r="J426" s="103">
        <v>2008</v>
      </c>
      <c r="K426" s="103" t="s">
        <v>1765</v>
      </c>
      <c r="L426" s="97"/>
      <c r="M426" s="103" t="s">
        <v>796</v>
      </c>
      <c r="N426" s="216">
        <v>600.88</v>
      </c>
      <c r="O426" s="216" t="s">
        <v>1019</v>
      </c>
      <c r="Q426" s="103">
        <v>10</v>
      </c>
      <c r="R426" s="30">
        <f t="shared" si="57"/>
        <v>4.9989999999999997</v>
      </c>
      <c r="S426" s="5">
        <v>464.90699999999998</v>
      </c>
      <c r="T426" s="135">
        <f t="shared" si="58"/>
        <v>469.90599999999995</v>
      </c>
      <c r="U426" s="15">
        <f t="shared" si="59"/>
        <v>4.9989999999999668</v>
      </c>
      <c r="V426" s="135">
        <f t="shared" si="60"/>
        <v>130.97400000000005</v>
      </c>
      <c r="W426" s="103">
        <v>10793</v>
      </c>
      <c r="X426" s="136"/>
      <c r="Y426" s="135"/>
      <c r="Z426" s="114">
        <f t="shared" si="61"/>
        <v>94</v>
      </c>
    </row>
    <row r="427" spans="1:26" s="103" customFormat="1" x14ac:dyDescent="0.25">
      <c r="A427" s="103" t="s">
        <v>1786</v>
      </c>
      <c r="B427" s="215" t="s">
        <v>1784</v>
      </c>
      <c r="E427" s="97"/>
      <c r="F427" s="97" t="s">
        <v>1764</v>
      </c>
      <c r="G427" s="132" t="str">
        <f t="shared" si="56"/>
        <v>26/3/2008</v>
      </c>
      <c r="H427" s="103">
        <v>26</v>
      </c>
      <c r="I427" s="103">
        <v>3</v>
      </c>
      <c r="J427" s="103">
        <v>2008</v>
      </c>
      <c r="K427" s="103" t="s">
        <v>1765</v>
      </c>
      <c r="L427" s="97"/>
      <c r="M427" s="103" t="s">
        <v>796</v>
      </c>
      <c r="N427" s="216">
        <v>600.88</v>
      </c>
      <c r="O427" s="216"/>
      <c r="Q427" s="103">
        <v>10</v>
      </c>
      <c r="R427" s="30">
        <f t="shared" si="57"/>
        <v>4.9989999999999997</v>
      </c>
      <c r="S427" s="5">
        <v>464.90699999999998</v>
      </c>
      <c r="T427" s="135">
        <f t="shared" si="58"/>
        <v>469.90599999999995</v>
      </c>
      <c r="U427" s="15">
        <f t="shared" si="59"/>
        <v>4.9989999999999668</v>
      </c>
      <c r="V427" s="135">
        <f t="shared" si="60"/>
        <v>130.97400000000005</v>
      </c>
      <c r="W427" s="103">
        <v>10793</v>
      </c>
      <c r="X427" s="136"/>
      <c r="Y427" s="135"/>
      <c r="Z427" s="114">
        <f t="shared" si="61"/>
        <v>94</v>
      </c>
    </row>
    <row r="428" spans="1:26" s="103" customFormat="1" x14ac:dyDescent="0.25">
      <c r="A428" s="103" t="s">
        <v>1787</v>
      </c>
      <c r="B428" s="215" t="s">
        <v>1784</v>
      </c>
      <c r="E428" s="97"/>
      <c r="F428" s="97" t="s">
        <v>1764</v>
      </c>
      <c r="G428" s="132" t="str">
        <f t="shared" si="56"/>
        <v>26/3/2008</v>
      </c>
      <c r="H428" s="103">
        <v>26</v>
      </c>
      <c r="I428" s="103">
        <v>3</v>
      </c>
      <c r="J428" s="103">
        <v>2008</v>
      </c>
      <c r="K428" s="103" t="s">
        <v>1765</v>
      </c>
      <c r="L428" s="97"/>
      <c r="M428" s="103" t="s">
        <v>796</v>
      </c>
      <c r="N428" s="216">
        <v>600.88</v>
      </c>
      <c r="O428" s="216"/>
      <c r="Q428" s="103">
        <v>10</v>
      </c>
      <c r="R428" s="30">
        <f t="shared" si="57"/>
        <v>4.9989999999999997</v>
      </c>
      <c r="S428" s="5">
        <v>464.90699999999998</v>
      </c>
      <c r="T428" s="135">
        <f t="shared" si="58"/>
        <v>469.90599999999995</v>
      </c>
      <c r="U428" s="15">
        <f t="shared" si="59"/>
        <v>4.9989999999999668</v>
      </c>
      <c r="V428" s="135">
        <f t="shared" si="60"/>
        <v>130.97400000000005</v>
      </c>
      <c r="W428" s="103">
        <v>10793</v>
      </c>
      <c r="X428" s="136"/>
      <c r="Y428" s="135"/>
      <c r="Z428" s="114">
        <f t="shared" si="61"/>
        <v>94</v>
      </c>
    </row>
    <row r="429" spans="1:26" s="141" customFormat="1" x14ac:dyDescent="0.25">
      <c r="A429" s="141" t="s">
        <v>1788</v>
      </c>
      <c r="B429" s="217" t="s">
        <v>1789</v>
      </c>
      <c r="E429" s="139"/>
      <c r="F429" s="139" t="s">
        <v>1764</v>
      </c>
      <c r="G429" s="140" t="str">
        <f t="shared" si="56"/>
        <v>26/3/2008</v>
      </c>
      <c r="H429" s="141">
        <v>26</v>
      </c>
      <c r="I429" s="141">
        <v>3</v>
      </c>
      <c r="J429" s="141">
        <v>2008</v>
      </c>
      <c r="K429" s="141" t="s">
        <v>1765</v>
      </c>
      <c r="L429" s="139"/>
      <c r="M429" s="141" t="s">
        <v>796</v>
      </c>
      <c r="N429" s="218">
        <v>1577.6</v>
      </c>
      <c r="O429" s="218" t="s">
        <v>1019</v>
      </c>
      <c r="Q429" s="141">
        <v>10</v>
      </c>
      <c r="R429" s="142">
        <f t="shared" si="57"/>
        <v>13.138333333333334</v>
      </c>
      <c r="S429" s="5">
        <v>1221.865</v>
      </c>
      <c r="T429" s="143">
        <f t="shared" si="58"/>
        <v>1235.0033333333333</v>
      </c>
      <c r="U429" s="15">
        <f t="shared" si="59"/>
        <v>13.138333333333321</v>
      </c>
      <c r="V429" s="143">
        <f t="shared" si="60"/>
        <v>342.59666666666658</v>
      </c>
      <c r="W429" s="141">
        <v>10793</v>
      </c>
      <c r="X429" s="144"/>
      <c r="Y429" s="143"/>
      <c r="Z429" s="145">
        <f t="shared" si="61"/>
        <v>94</v>
      </c>
    </row>
    <row r="430" spans="1:26" s="141" customFormat="1" x14ac:dyDescent="0.25">
      <c r="A430" s="141" t="s">
        <v>1790</v>
      </c>
      <c r="B430" s="217" t="s">
        <v>1789</v>
      </c>
      <c r="E430" s="139"/>
      <c r="F430" s="139" t="s">
        <v>1764</v>
      </c>
      <c r="G430" s="140" t="str">
        <f t="shared" si="56"/>
        <v>26/3/2008</v>
      </c>
      <c r="H430" s="141">
        <v>26</v>
      </c>
      <c r="I430" s="141">
        <v>3</v>
      </c>
      <c r="J430" s="141">
        <v>2008</v>
      </c>
      <c r="K430" s="141" t="s">
        <v>1765</v>
      </c>
      <c r="L430" s="139"/>
      <c r="M430" s="141" t="s">
        <v>796</v>
      </c>
      <c r="N430" s="218">
        <v>1577.6</v>
      </c>
      <c r="O430" s="218" t="s">
        <v>1019</v>
      </c>
      <c r="Q430" s="141">
        <v>10</v>
      </c>
      <c r="R430" s="142">
        <f t="shared" si="57"/>
        <v>13.138333333333334</v>
      </c>
      <c r="S430" s="5">
        <v>1221.865</v>
      </c>
      <c r="T430" s="143">
        <f t="shared" si="58"/>
        <v>1235.0033333333333</v>
      </c>
      <c r="U430" s="15">
        <f t="shared" si="59"/>
        <v>13.138333333333321</v>
      </c>
      <c r="V430" s="143">
        <f t="shared" si="60"/>
        <v>342.59666666666658</v>
      </c>
      <c r="W430" s="141">
        <v>10793</v>
      </c>
      <c r="X430" s="144"/>
      <c r="Y430" s="143"/>
      <c r="Z430" s="145">
        <f t="shared" si="61"/>
        <v>94</v>
      </c>
    </row>
    <row r="431" spans="1:26" s="141" customFormat="1" x14ac:dyDescent="0.25">
      <c r="A431" s="141" t="s">
        <v>1791</v>
      </c>
      <c r="B431" s="217" t="s">
        <v>1789</v>
      </c>
      <c r="E431" s="139"/>
      <c r="F431" s="139" t="s">
        <v>1764</v>
      </c>
      <c r="G431" s="140" t="str">
        <f t="shared" si="56"/>
        <v>26/3/2008</v>
      </c>
      <c r="H431" s="141">
        <v>26</v>
      </c>
      <c r="I431" s="141">
        <v>3</v>
      </c>
      <c r="J431" s="141">
        <v>2008</v>
      </c>
      <c r="K431" s="141" t="s">
        <v>1765</v>
      </c>
      <c r="L431" s="139"/>
      <c r="M431" s="141" t="s">
        <v>796</v>
      </c>
      <c r="N431" s="218">
        <v>1577.6</v>
      </c>
      <c r="O431" s="218" t="s">
        <v>1792</v>
      </c>
      <c r="Q431" s="141">
        <v>10</v>
      </c>
      <c r="R431" s="142">
        <f t="shared" si="57"/>
        <v>13.138333333333334</v>
      </c>
      <c r="S431" s="5">
        <v>1221.865</v>
      </c>
      <c r="T431" s="143">
        <f t="shared" si="58"/>
        <v>1235.0033333333333</v>
      </c>
      <c r="U431" s="15">
        <f t="shared" si="59"/>
        <v>13.138333333333321</v>
      </c>
      <c r="V431" s="143">
        <f t="shared" si="60"/>
        <v>342.59666666666658</v>
      </c>
      <c r="W431" s="141">
        <v>10793</v>
      </c>
      <c r="X431" s="144"/>
      <c r="Y431" s="143"/>
      <c r="Z431" s="145">
        <f t="shared" si="61"/>
        <v>94</v>
      </c>
    </row>
    <row r="432" spans="1:26" s="141" customFormat="1" x14ac:dyDescent="0.25">
      <c r="A432" s="141" t="s">
        <v>1793</v>
      </c>
      <c r="B432" s="217" t="s">
        <v>1789</v>
      </c>
      <c r="E432" s="139"/>
      <c r="F432" s="139" t="s">
        <v>1764</v>
      </c>
      <c r="G432" s="140" t="str">
        <f t="shared" si="56"/>
        <v>26/3/2008</v>
      </c>
      <c r="H432" s="141">
        <v>26</v>
      </c>
      <c r="I432" s="141">
        <v>3</v>
      </c>
      <c r="J432" s="141">
        <v>2008</v>
      </c>
      <c r="K432" s="141" t="s">
        <v>1765</v>
      </c>
      <c r="L432" s="139"/>
      <c r="M432" s="141" t="s">
        <v>796</v>
      </c>
      <c r="N432" s="218">
        <v>1577.6</v>
      </c>
      <c r="O432" s="218" t="s">
        <v>1792</v>
      </c>
      <c r="Q432" s="141">
        <v>10</v>
      </c>
      <c r="R432" s="142">
        <f t="shared" si="57"/>
        <v>13.138333333333334</v>
      </c>
      <c r="S432" s="5">
        <v>1221.865</v>
      </c>
      <c r="T432" s="143">
        <f t="shared" si="58"/>
        <v>1235.0033333333333</v>
      </c>
      <c r="U432" s="15">
        <f t="shared" si="59"/>
        <v>13.138333333333321</v>
      </c>
      <c r="V432" s="143">
        <f t="shared" si="60"/>
        <v>342.59666666666658</v>
      </c>
      <c r="W432" s="141">
        <v>10793</v>
      </c>
      <c r="X432" s="144"/>
      <c r="Y432" s="143"/>
      <c r="Z432" s="145">
        <f t="shared" si="61"/>
        <v>94</v>
      </c>
    </row>
    <row r="433" spans="1:26" s="141" customFormat="1" x14ac:dyDescent="0.25">
      <c r="A433" s="141" t="s">
        <v>1794</v>
      </c>
      <c r="B433" s="217" t="s">
        <v>1789</v>
      </c>
      <c r="E433" s="139"/>
      <c r="F433" s="139" t="s">
        <v>1764</v>
      </c>
      <c r="G433" s="140" t="str">
        <f t="shared" si="56"/>
        <v>26/2/2008</v>
      </c>
      <c r="H433" s="141">
        <v>26</v>
      </c>
      <c r="I433" s="141">
        <v>2</v>
      </c>
      <c r="J433" s="141">
        <v>2008</v>
      </c>
      <c r="K433" s="141" t="s">
        <v>1765</v>
      </c>
      <c r="L433" s="139"/>
      <c r="M433" s="141" t="s">
        <v>796</v>
      </c>
      <c r="N433" s="218">
        <v>1577.6</v>
      </c>
      <c r="O433" s="218" t="s">
        <v>1792</v>
      </c>
      <c r="Q433" s="141">
        <v>10</v>
      </c>
      <c r="R433" s="142">
        <f t="shared" si="57"/>
        <v>13.138333333333334</v>
      </c>
      <c r="S433" s="5">
        <v>1235.0033333333333</v>
      </c>
      <c r="T433" s="143">
        <f t="shared" si="58"/>
        <v>1248.1416666666667</v>
      </c>
      <c r="U433" s="15">
        <f t="shared" si="59"/>
        <v>13.138333333333321</v>
      </c>
      <c r="V433" s="143">
        <f t="shared" si="60"/>
        <v>329.45833333333326</v>
      </c>
      <c r="W433" s="141">
        <v>10793</v>
      </c>
      <c r="X433" s="144"/>
      <c r="Y433" s="143"/>
      <c r="Z433" s="145">
        <f t="shared" si="61"/>
        <v>95</v>
      </c>
    </row>
    <row r="434" spans="1:26" s="152" customFormat="1" x14ac:dyDescent="0.25">
      <c r="A434" s="152" t="s">
        <v>1795</v>
      </c>
      <c r="B434" s="219" t="s">
        <v>1796</v>
      </c>
      <c r="D434" s="152" t="s">
        <v>1797</v>
      </c>
      <c r="E434" s="148"/>
      <c r="F434" s="148" t="s">
        <v>1764</v>
      </c>
      <c r="G434" s="149" t="str">
        <f t="shared" si="56"/>
        <v>26/3/2008</v>
      </c>
      <c r="H434" s="152">
        <v>26</v>
      </c>
      <c r="I434" s="152">
        <v>3</v>
      </c>
      <c r="J434" s="152">
        <v>2008</v>
      </c>
      <c r="K434" s="152" t="s">
        <v>1765</v>
      </c>
      <c r="L434" s="148"/>
      <c r="M434" s="152" t="s">
        <v>796</v>
      </c>
      <c r="N434" s="220">
        <v>2975.4</v>
      </c>
      <c r="O434" s="216"/>
      <c r="P434" s="103"/>
      <c r="Q434" s="103">
        <v>10</v>
      </c>
      <c r="R434" s="18">
        <f t="shared" si="57"/>
        <v>24.786666666666665</v>
      </c>
      <c r="S434" s="5">
        <v>2305.16</v>
      </c>
      <c r="T434" s="153">
        <f t="shared" si="58"/>
        <v>2329.9466666666667</v>
      </c>
      <c r="U434" s="15">
        <f t="shared" si="59"/>
        <v>24.786666666666861</v>
      </c>
      <c r="V434" s="153">
        <f t="shared" si="60"/>
        <v>645.45333333333338</v>
      </c>
      <c r="W434" s="152">
        <v>10793</v>
      </c>
      <c r="X434" s="154"/>
      <c r="Y434" s="153"/>
      <c r="Z434" s="155">
        <f t="shared" si="61"/>
        <v>94</v>
      </c>
    </row>
    <row r="435" spans="1:26" s="152" customFormat="1" x14ac:dyDescent="0.25">
      <c r="A435" s="152" t="s">
        <v>1798</v>
      </c>
      <c r="B435" s="219" t="s">
        <v>1796</v>
      </c>
      <c r="D435" s="152" t="s">
        <v>1797</v>
      </c>
      <c r="E435" s="148"/>
      <c r="F435" s="148" t="s">
        <v>1764</v>
      </c>
      <c r="G435" s="149" t="str">
        <f t="shared" si="56"/>
        <v>26/3/2008</v>
      </c>
      <c r="H435" s="152">
        <v>26</v>
      </c>
      <c r="I435" s="152">
        <v>3</v>
      </c>
      <c r="J435" s="152">
        <v>2008</v>
      </c>
      <c r="K435" s="152" t="s">
        <v>1765</v>
      </c>
      <c r="L435" s="148"/>
      <c r="M435" s="152" t="s">
        <v>796</v>
      </c>
      <c r="N435" s="220">
        <v>2975.4</v>
      </c>
      <c r="O435" s="216"/>
      <c r="P435" s="103"/>
      <c r="Q435" s="103">
        <v>10</v>
      </c>
      <c r="R435" s="18">
        <f t="shared" si="57"/>
        <v>24.786666666666665</v>
      </c>
      <c r="S435" s="5">
        <v>2305.16</v>
      </c>
      <c r="T435" s="153">
        <f t="shared" si="58"/>
        <v>2329.9466666666667</v>
      </c>
      <c r="U435" s="15">
        <f t="shared" si="59"/>
        <v>24.786666666666861</v>
      </c>
      <c r="V435" s="153">
        <f t="shared" si="60"/>
        <v>645.45333333333338</v>
      </c>
      <c r="W435" s="152">
        <v>10793</v>
      </c>
      <c r="X435" s="154"/>
      <c r="Y435" s="153"/>
      <c r="Z435" s="155">
        <f t="shared" si="61"/>
        <v>94</v>
      </c>
    </row>
    <row r="436" spans="1:26" s="152" customFormat="1" x14ac:dyDescent="0.25">
      <c r="A436" s="152" t="s">
        <v>1799</v>
      </c>
      <c r="B436" s="219" t="s">
        <v>1796</v>
      </c>
      <c r="D436" s="152" t="s">
        <v>1797</v>
      </c>
      <c r="E436" s="148"/>
      <c r="F436" s="148" t="s">
        <v>1764</v>
      </c>
      <c r="G436" s="149" t="str">
        <f t="shared" si="56"/>
        <v>26/3/2008</v>
      </c>
      <c r="H436" s="152">
        <v>26</v>
      </c>
      <c r="I436" s="152">
        <v>3</v>
      </c>
      <c r="J436" s="152">
        <v>2008</v>
      </c>
      <c r="K436" s="152" t="s">
        <v>1765</v>
      </c>
      <c r="L436" s="148"/>
      <c r="M436" s="152" t="s">
        <v>796</v>
      </c>
      <c r="N436" s="220">
        <v>2975.4</v>
      </c>
      <c r="O436" s="216"/>
      <c r="P436" s="103"/>
      <c r="Q436" s="103">
        <v>10</v>
      </c>
      <c r="R436" s="18">
        <f t="shared" si="57"/>
        <v>24.786666666666665</v>
      </c>
      <c r="S436" s="5">
        <v>2305.16</v>
      </c>
      <c r="T436" s="153">
        <f t="shared" si="58"/>
        <v>2329.9466666666667</v>
      </c>
      <c r="U436" s="15">
        <f t="shared" si="59"/>
        <v>24.786666666666861</v>
      </c>
      <c r="V436" s="153">
        <f t="shared" si="60"/>
        <v>645.45333333333338</v>
      </c>
      <c r="W436" s="152">
        <v>10793</v>
      </c>
      <c r="X436" s="154"/>
      <c r="Y436" s="153"/>
      <c r="Z436" s="155">
        <f t="shared" si="61"/>
        <v>94</v>
      </c>
    </row>
    <row r="437" spans="1:26" s="152" customFormat="1" x14ac:dyDescent="0.25">
      <c r="A437" s="152" t="s">
        <v>1800</v>
      </c>
      <c r="B437" s="219" t="s">
        <v>1796</v>
      </c>
      <c r="D437" s="152" t="s">
        <v>1797</v>
      </c>
      <c r="E437" s="148"/>
      <c r="F437" s="148" t="s">
        <v>1764</v>
      </c>
      <c r="G437" s="149" t="str">
        <f t="shared" si="56"/>
        <v>26/3/2008</v>
      </c>
      <c r="H437" s="152">
        <v>26</v>
      </c>
      <c r="I437" s="152">
        <v>3</v>
      </c>
      <c r="J437" s="152">
        <v>2008</v>
      </c>
      <c r="K437" s="152" t="s">
        <v>1765</v>
      </c>
      <c r="L437" s="148"/>
      <c r="M437" s="152" t="s">
        <v>796</v>
      </c>
      <c r="N437" s="220">
        <v>2975.4</v>
      </c>
      <c r="O437" s="216"/>
      <c r="P437" s="103"/>
      <c r="Q437" s="103">
        <v>10</v>
      </c>
      <c r="R437" s="18">
        <f t="shared" si="57"/>
        <v>24.786666666666665</v>
      </c>
      <c r="S437" s="5">
        <v>2305.16</v>
      </c>
      <c r="T437" s="153">
        <f t="shared" si="58"/>
        <v>2329.9466666666667</v>
      </c>
      <c r="U437" s="15">
        <f t="shared" si="59"/>
        <v>24.786666666666861</v>
      </c>
      <c r="V437" s="153">
        <f t="shared" si="60"/>
        <v>645.45333333333338</v>
      </c>
      <c r="W437" s="152">
        <v>10793</v>
      </c>
      <c r="X437" s="154"/>
      <c r="Y437" s="153"/>
      <c r="Z437" s="155">
        <f t="shared" si="61"/>
        <v>94</v>
      </c>
    </row>
    <row r="438" spans="1:26" s="152" customFormat="1" x14ac:dyDescent="0.25">
      <c r="A438" s="152" t="s">
        <v>1801</v>
      </c>
      <c r="B438" s="219" t="s">
        <v>1796</v>
      </c>
      <c r="D438" s="152" t="s">
        <v>1797</v>
      </c>
      <c r="E438" s="148"/>
      <c r="F438" s="148" t="s">
        <v>1764</v>
      </c>
      <c r="G438" s="149" t="str">
        <f t="shared" si="56"/>
        <v>26/3/2008</v>
      </c>
      <c r="H438" s="152">
        <v>26</v>
      </c>
      <c r="I438" s="152">
        <v>3</v>
      </c>
      <c r="J438" s="152">
        <v>2008</v>
      </c>
      <c r="K438" s="152" t="s">
        <v>1765</v>
      </c>
      <c r="L438" s="148"/>
      <c r="M438" s="152" t="s">
        <v>796</v>
      </c>
      <c r="N438" s="220">
        <v>2975.4</v>
      </c>
      <c r="O438" s="216"/>
      <c r="P438" s="103"/>
      <c r="Q438" s="103">
        <v>10</v>
      </c>
      <c r="R438" s="18">
        <f t="shared" si="57"/>
        <v>24.786666666666665</v>
      </c>
      <c r="S438" s="5">
        <v>2305.16</v>
      </c>
      <c r="T438" s="153">
        <f t="shared" si="58"/>
        <v>2329.9466666666667</v>
      </c>
      <c r="U438" s="15">
        <f t="shared" si="59"/>
        <v>24.786666666666861</v>
      </c>
      <c r="V438" s="153">
        <f t="shared" si="60"/>
        <v>645.45333333333338</v>
      </c>
      <c r="W438" s="152">
        <v>10793</v>
      </c>
      <c r="X438" s="154"/>
      <c r="Y438" s="153"/>
      <c r="Z438" s="155">
        <f t="shared" si="61"/>
        <v>94</v>
      </c>
    </row>
    <row r="439" spans="1:26" s="103" customFormat="1" x14ac:dyDescent="0.25">
      <c r="A439" s="103" t="s">
        <v>1802</v>
      </c>
      <c r="B439" s="215" t="s">
        <v>1803</v>
      </c>
      <c r="E439" s="97"/>
      <c r="F439" s="97" t="s">
        <v>1764</v>
      </c>
      <c r="G439" s="132" t="str">
        <f t="shared" si="56"/>
        <v>26/3/2008</v>
      </c>
      <c r="H439" s="103">
        <v>26</v>
      </c>
      <c r="I439" s="103">
        <v>3</v>
      </c>
      <c r="J439" s="103">
        <v>2008</v>
      </c>
      <c r="K439" s="103" t="s">
        <v>1765</v>
      </c>
      <c r="L439" s="97"/>
      <c r="M439" s="103" t="s">
        <v>796</v>
      </c>
      <c r="N439" s="216">
        <v>1386.2</v>
      </c>
      <c r="O439" s="216"/>
      <c r="Q439" s="103">
        <v>10</v>
      </c>
      <c r="R439" s="30">
        <f t="shared" si="57"/>
        <v>11.543333333333335</v>
      </c>
      <c r="S439" s="5">
        <v>1073.5300000000002</v>
      </c>
      <c r="T439" s="135">
        <f t="shared" si="58"/>
        <v>1085.0733333333335</v>
      </c>
      <c r="U439" s="15">
        <f t="shared" si="59"/>
        <v>11.543333333333294</v>
      </c>
      <c r="V439" s="135">
        <f t="shared" si="60"/>
        <v>301.12666666666655</v>
      </c>
      <c r="W439" s="103">
        <v>10793</v>
      </c>
      <c r="X439" s="136"/>
      <c r="Y439" s="135"/>
      <c r="Z439" s="114">
        <f t="shared" si="61"/>
        <v>94</v>
      </c>
    </row>
    <row r="440" spans="1:26" s="103" customFormat="1" x14ac:dyDescent="0.25">
      <c r="A440" s="103" t="s">
        <v>1804</v>
      </c>
      <c r="B440" s="215" t="s">
        <v>1805</v>
      </c>
      <c r="D440" s="103" t="s">
        <v>1806</v>
      </c>
      <c r="E440" s="97"/>
      <c r="F440" s="97" t="s">
        <v>1764</v>
      </c>
      <c r="G440" s="132" t="str">
        <f t="shared" si="56"/>
        <v>26/3/2008</v>
      </c>
      <c r="H440" s="103">
        <v>26</v>
      </c>
      <c r="I440" s="103">
        <v>3</v>
      </c>
      <c r="J440" s="103">
        <v>2008</v>
      </c>
      <c r="K440" s="103" t="s">
        <v>1765</v>
      </c>
      <c r="L440" s="97"/>
      <c r="M440" s="103" t="s">
        <v>796</v>
      </c>
      <c r="N440" s="221">
        <v>255.2</v>
      </c>
      <c r="O440" s="221"/>
      <c r="Q440" s="103">
        <v>10</v>
      </c>
      <c r="R440" s="30">
        <f t="shared" si="57"/>
        <v>2.1183333333333332</v>
      </c>
      <c r="S440" s="5">
        <v>197.005</v>
      </c>
      <c r="T440" s="135">
        <f t="shared" si="58"/>
        <v>199.12333333333331</v>
      </c>
      <c r="U440" s="15">
        <f t="shared" si="59"/>
        <v>2.118333333333311</v>
      </c>
      <c r="V440" s="135">
        <f t="shared" si="60"/>
        <v>56.076666666666682</v>
      </c>
      <c r="W440" s="103">
        <v>10793</v>
      </c>
      <c r="X440" s="136"/>
      <c r="Y440" s="135"/>
      <c r="Z440" s="114">
        <f t="shared" si="61"/>
        <v>94</v>
      </c>
    </row>
    <row r="441" spans="1:26" s="103" customFormat="1" x14ac:dyDescent="0.25">
      <c r="A441" s="103" t="s">
        <v>1807</v>
      </c>
      <c r="B441" s="215" t="s">
        <v>1805</v>
      </c>
      <c r="D441" s="103" t="s">
        <v>1806</v>
      </c>
      <c r="E441" s="97"/>
      <c r="F441" s="97" t="s">
        <v>1764</v>
      </c>
      <c r="G441" s="132" t="str">
        <f t="shared" si="56"/>
        <v>26/3/2008</v>
      </c>
      <c r="H441" s="103">
        <v>26</v>
      </c>
      <c r="I441" s="103">
        <v>3</v>
      </c>
      <c r="J441" s="103">
        <v>2008</v>
      </c>
      <c r="K441" s="103" t="s">
        <v>1765</v>
      </c>
      <c r="L441" s="97"/>
      <c r="M441" s="103" t="s">
        <v>796</v>
      </c>
      <c r="N441" s="221">
        <v>255.2</v>
      </c>
      <c r="O441" s="221"/>
      <c r="Q441" s="103">
        <v>10</v>
      </c>
      <c r="R441" s="30">
        <f t="shared" si="57"/>
        <v>2.1183333333333332</v>
      </c>
      <c r="S441" s="5">
        <v>197.005</v>
      </c>
      <c r="T441" s="135">
        <f t="shared" si="58"/>
        <v>199.12333333333331</v>
      </c>
      <c r="U441" s="15">
        <f t="shared" si="59"/>
        <v>2.118333333333311</v>
      </c>
      <c r="V441" s="135">
        <f t="shared" si="60"/>
        <v>56.076666666666682</v>
      </c>
      <c r="W441" s="103">
        <v>10793</v>
      </c>
      <c r="X441" s="136"/>
      <c r="Y441" s="135"/>
      <c r="Z441" s="114">
        <f t="shared" si="61"/>
        <v>94</v>
      </c>
    </row>
    <row r="442" spans="1:26" s="103" customFormat="1" x14ac:dyDescent="0.25">
      <c r="A442" s="103" t="s">
        <v>1808</v>
      </c>
      <c r="B442" s="215" t="s">
        <v>1805</v>
      </c>
      <c r="D442" s="103" t="s">
        <v>1806</v>
      </c>
      <c r="E442" s="97"/>
      <c r="F442" s="97" t="s">
        <v>1764</v>
      </c>
      <c r="G442" s="132" t="str">
        <f t="shared" si="56"/>
        <v>26/3/2008</v>
      </c>
      <c r="H442" s="103">
        <v>26</v>
      </c>
      <c r="I442" s="103">
        <v>3</v>
      </c>
      <c r="J442" s="103">
        <v>2008</v>
      </c>
      <c r="K442" s="103" t="s">
        <v>1765</v>
      </c>
      <c r="L442" s="97"/>
      <c r="M442" s="103" t="s">
        <v>796</v>
      </c>
      <c r="N442" s="221">
        <v>255.2</v>
      </c>
      <c r="O442" s="221"/>
      <c r="Q442" s="103">
        <v>10</v>
      </c>
      <c r="R442" s="30">
        <f t="shared" si="57"/>
        <v>2.1183333333333332</v>
      </c>
      <c r="S442" s="5">
        <v>197.005</v>
      </c>
      <c r="T442" s="135">
        <f t="shared" si="58"/>
        <v>199.12333333333331</v>
      </c>
      <c r="U442" s="15">
        <f t="shared" si="59"/>
        <v>2.118333333333311</v>
      </c>
      <c r="V442" s="135">
        <f t="shared" si="60"/>
        <v>56.076666666666682</v>
      </c>
      <c r="W442" s="103">
        <v>10793</v>
      </c>
      <c r="X442" s="136"/>
      <c r="Y442" s="135"/>
      <c r="Z442" s="114">
        <f t="shared" si="61"/>
        <v>94</v>
      </c>
    </row>
    <row r="443" spans="1:26" s="103" customFormat="1" x14ac:dyDescent="0.25">
      <c r="A443" s="103" t="s">
        <v>1809</v>
      </c>
      <c r="B443" s="215" t="s">
        <v>1810</v>
      </c>
      <c r="E443" s="97"/>
      <c r="F443" s="97" t="s">
        <v>1764</v>
      </c>
      <c r="G443" s="132" t="str">
        <f t="shared" si="56"/>
        <v>26/3/2008</v>
      </c>
      <c r="H443" s="103">
        <v>26</v>
      </c>
      <c r="I443" s="103">
        <v>3</v>
      </c>
      <c r="J443" s="103">
        <v>2008</v>
      </c>
      <c r="K443" s="103" t="s">
        <v>1765</v>
      </c>
      <c r="L443" s="97" t="s">
        <v>1811</v>
      </c>
      <c r="M443" s="103" t="s">
        <v>796</v>
      </c>
      <c r="N443" s="221">
        <v>4372.04</v>
      </c>
      <c r="O443" s="221"/>
      <c r="Q443" s="103">
        <v>10</v>
      </c>
      <c r="R443" s="30">
        <f t="shared" si="57"/>
        <v>36.425333333333334</v>
      </c>
      <c r="S443" s="5">
        <v>3387.556</v>
      </c>
      <c r="T443" s="135">
        <f t="shared" si="58"/>
        <v>3423.9813333333336</v>
      </c>
      <c r="U443" s="15">
        <f t="shared" si="59"/>
        <v>36.425333333333583</v>
      </c>
      <c r="V443" s="135">
        <f t="shared" si="60"/>
        <v>948.05866666666634</v>
      </c>
      <c r="W443" s="103">
        <v>10793</v>
      </c>
      <c r="X443" s="136"/>
      <c r="Y443" s="135"/>
      <c r="Z443" s="114">
        <f t="shared" si="61"/>
        <v>94</v>
      </c>
    </row>
    <row r="444" spans="1:26" s="103" customFormat="1" x14ac:dyDescent="0.25">
      <c r="A444" s="103" t="s">
        <v>1812</v>
      </c>
      <c r="B444" s="215" t="s">
        <v>1810</v>
      </c>
      <c r="E444" s="97"/>
      <c r="F444" s="97" t="s">
        <v>1764</v>
      </c>
      <c r="G444" s="132" t="str">
        <f t="shared" si="56"/>
        <v>26/3/2008</v>
      </c>
      <c r="H444" s="103">
        <v>26</v>
      </c>
      <c r="I444" s="103">
        <v>3</v>
      </c>
      <c r="J444" s="103">
        <v>2008</v>
      </c>
      <c r="K444" s="103" t="s">
        <v>1765</v>
      </c>
      <c r="L444" s="97"/>
      <c r="M444" s="103" t="s">
        <v>796</v>
      </c>
      <c r="N444" s="221">
        <v>4372.04</v>
      </c>
      <c r="O444" s="221"/>
      <c r="Q444" s="103">
        <v>10</v>
      </c>
      <c r="R444" s="30">
        <f t="shared" si="57"/>
        <v>36.425333333333334</v>
      </c>
      <c r="S444" s="5">
        <v>3387.556</v>
      </c>
      <c r="T444" s="135">
        <f t="shared" si="58"/>
        <v>3423.9813333333336</v>
      </c>
      <c r="U444" s="15">
        <f t="shared" si="59"/>
        <v>36.425333333333583</v>
      </c>
      <c r="V444" s="135">
        <f t="shared" si="60"/>
        <v>948.05866666666634</v>
      </c>
      <c r="W444" s="103">
        <v>10793</v>
      </c>
      <c r="X444" s="136"/>
      <c r="Y444" s="135"/>
      <c r="Z444" s="114">
        <f t="shared" si="61"/>
        <v>94</v>
      </c>
    </row>
    <row r="445" spans="1:26" s="103" customFormat="1" x14ac:dyDescent="0.25">
      <c r="A445" s="103" t="s">
        <v>1813</v>
      </c>
      <c r="B445" s="215" t="s">
        <v>1810</v>
      </c>
      <c r="E445" s="97"/>
      <c r="F445" s="97" t="s">
        <v>1764</v>
      </c>
      <c r="G445" s="132" t="str">
        <f t="shared" si="56"/>
        <v>26/3/2008</v>
      </c>
      <c r="H445" s="103">
        <v>26</v>
      </c>
      <c r="I445" s="103">
        <v>3</v>
      </c>
      <c r="J445" s="103">
        <v>2008</v>
      </c>
      <c r="K445" s="103" t="s">
        <v>1765</v>
      </c>
      <c r="L445" s="97"/>
      <c r="M445" s="103" t="s">
        <v>796</v>
      </c>
      <c r="N445" s="221">
        <v>4372.04</v>
      </c>
      <c r="O445" s="221"/>
      <c r="Q445" s="103">
        <v>10</v>
      </c>
      <c r="R445" s="30">
        <f t="shared" si="57"/>
        <v>36.425333333333334</v>
      </c>
      <c r="S445" s="5">
        <v>3387.556</v>
      </c>
      <c r="T445" s="135">
        <f t="shared" si="58"/>
        <v>3423.9813333333336</v>
      </c>
      <c r="U445" s="15">
        <f t="shared" si="59"/>
        <v>36.425333333333583</v>
      </c>
      <c r="V445" s="135">
        <f t="shared" si="60"/>
        <v>948.05866666666634</v>
      </c>
      <c r="W445" s="103">
        <v>10793</v>
      </c>
      <c r="X445" s="136"/>
      <c r="Y445" s="135"/>
      <c r="Z445" s="114">
        <f t="shared" si="61"/>
        <v>94</v>
      </c>
    </row>
    <row r="446" spans="1:26" s="103" customFormat="1" x14ac:dyDescent="0.25">
      <c r="A446" s="103" t="s">
        <v>1814</v>
      </c>
      <c r="B446" s="215" t="s">
        <v>1810</v>
      </c>
      <c r="E446" s="97"/>
      <c r="F446" s="97" t="s">
        <v>1764</v>
      </c>
      <c r="G446" s="132" t="str">
        <f t="shared" si="56"/>
        <v>26/3/2008</v>
      </c>
      <c r="H446" s="103">
        <v>26</v>
      </c>
      <c r="I446" s="103">
        <v>3</v>
      </c>
      <c r="J446" s="103">
        <v>2008</v>
      </c>
      <c r="K446" s="103" t="s">
        <v>1765</v>
      </c>
      <c r="L446" s="97"/>
      <c r="M446" s="103" t="s">
        <v>796</v>
      </c>
      <c r="N446" s="221">
        <v>4372.04</v>
      </c>
      <c r="O446" s="221"/>
      <c r="Q446" s="103">
        <v>10</v>
      </c>
      <c r="R446" s="30">
        <f t="shared" si="57"/>
        <v>36.425333333333334</v>
      </c>
      <c r="S446" s="5">
        <v>3387.556</v>
      </c>
      <c r="T446" s="135">
        <f t="shared" si="58"/>
        <v>3423.9813333333336</v>
      </c>
      <c r="U446" s="15">
        <f t="shared" si="59"/>
        <v>36.425333333333583</v>
      </c>
      <c r="V446" s="135">
        <f t="shared" si="60"/>
        <v>948.05866666666634</v>
      </c>
      <c r="W446" s="103">
        <v>10793</v>
      </c>
      <c r="X446" s="136"/>
      <c r="Y446" s="135"/>
      <c r="Z446" s="114">
        <f t="shared" si="61"/>
        <v>94</v>
      </c>
    </row>
    <row r="447" spans="1:26" s="103" customFormat="1" x14ac:dyDescent="0.25">
      <c r="A447" s="103" t="s">
        <v>1815</v>
      </c>
      <c r="B447" s="215" t="s">
        <v>1816</v>
      </c>
      <c r="E447" s="97"/>
      <c r="F447" s="97" t="s">
        <v>865</v>
      </c>
      <c r="G447" s="132" t="str">
        <f t="shared" si="56"/>
        <v>14/4/2008</v>
      </c>
      <c r="H447" s="103">
        <v>14</v>
      </c>
      <c r="I447" s="103">
        <v>4</v>
      </c>
      <c r="J447" s="103">
        <v>2008</v>
      </c>
      <c r="K447" s="103" t="s">
        <v>1817</v>
      </c>
      <c r="L447" s="97"/>
      <c r="M447" s="103" t="s">
        <v>796</v>
      </c>
      <c r="N447" s="221">
        <v>6684.38</v>
      </c>
      <c r="O447" s="221"/>
      <c r="Q447" s="103">
        <v>10</v>
      </c>
      <c r="R447" s="30">
        <f t="shared" si="57"/>
        <v>55.694833333333328</v>
      </c>
      <c r="S447" s="5">
        <v>5123.9246666666659</v>
      </c>
      <c r="T447" s="135">
        <f t="shared" si="58"/>
        <v>5179.6194999999998</v>
      </c>
      <c r="U447" s="15">
        <f t="shared" si="59"/>
        <v>55.694833333333918</v>
      </c>
      <c r="V447" s="135">
        <f t="shared" si="60"/>
        <v>1504.7605000000003</v>
      </c>
      <c r="W447" s="103">
        <v>10899</v>
      </c>
      <c r="X447" s="136"/>
      <c r="Y447" s="135"/>
      <c r="Z447" s="114">
        <f t="shared" si="61"/>
        <v>93</v>
      </c>
    </row>
    <row r="448" spans="1:26" s="103" customFormat="1" x14ac:dyDescent="0.25">
      <c r="A448" s="103" t="s">
        <v>1818</v>
      </c>
      <c r="B448" s="215" t="s">
        <v>1819</v>
      </c>
      <c r="E448" s="97"/>
      <c r="F448" s="97" t="s">
        <v>865</v>
      </c>
      <c r="G448" s="132" t="str">
        <f t="shared" si="56"/>
        <v>14/4/2008</v>
      </c>
      <c r="H448" s="103">
        <v>14</v>
      </c>
      <c r="I448" s="103">
        <v>4</v>
      </c>
      <c r="J448" s="103">
        <v>2008</v>
      </c>
      <c r="K448" s="103" t="s">
        <v>1817</v>
      </c>
      <c r="L448" s="97"/>
      <c r="M448" s="103" t="s">
        <v>796</v>
      </c>
      <c r="N448" s="221">
        <v>580</v>
      </c>
      <c r="O448" s="221"/>
      <c r="Q448" s="103">
        <v>10</v>
      </c>
      <c r="R448" s="30">
        <f t="shared" si="57"/>
        <v>4.8250000000000002</v>
      </c>
      <c r="S448" s="5">
        <v>443.90000000000003</v>
      </c>
      <c r="T448" s="135">
        <f t="shared" si="58"/>
        <v>448.72500000000002</v>
      </c>
      <c r="U448" s="15">
        <f t="shared" si="59"/>
        <v>4.8249999999999886</v>
      </c>
      <c r="V448" s="135">
        <f t="shared" si="60"/>
        <v>131.27499999999998</v>
      </c>
      <c r="W448" s="103">
        <v>10899</v>
      </c>
      <c r="X448" s="136"/>
      <c r="Y448" s="135"/>
      <c r="Z448" s="114">
        <f t="shared" si="61"/>
        <v>93</v>
      </c>
    </row>
    <row r="449" spans="1:26" s="103" customFormat="1" x14ac:dyDescent="0.25">
      <c r="A449" s="103" t="s">
        <v>1820</v>
      </c>
      <c r="B449" s="215" t="s">
        <v>1816</v>
      </c>
      <c r="E449" s="97"/>
      <c r="F449" s="97" t="s">
        <v>865</v>
      </c>
      <c r="G449" s="132" t="str">
        <f t="shared" si="56"/>
        <v>14/4/2008</v>
      </c>
      <c r="H449" s="103">
        <v>14</v>
      </c>
      <c r="I449" s="103">
        <v>4</v>
      </c>
      <c r="J449" s="103">
        <v>2008</v>
      </c>
      <c r="K449" s="103" t="s">
        <v>1817</v>
      </c>
      <c r="L449" s="97"/>
      <c r="M449" s="103" t="s">
        <v>796</v>
      </c>
      <c r="N449" s="221">
        <v>4820.96</v>
      </c>
      <c r="O449" s="221"/>
      <c r="Q449" s="103">
        <v>10</v>
      </c>
      <c r="R449" s="30">
        <f t="shared" si="57"/>
        <v>40.166333333333334</v>
      </c>
      <c r="S449" s="5">
        <v>3695.3026666666669</v>
      </c>
      <c r="T449" s="135">
        <f t="shared" si="58"/>
        <v>3735.4690000000001</v>
      </c>
      <c r="U449" s="15">
        <f t="shared" si="59"/>
        <v>40.166333333333114</v>
      </c>
      <c r="V449" s="135">
        <f t="shared" si="60"/>
        <v>1085.491</v>
      </c>
      <c r="W449" s="103">
        <v>10899</v>
      </c>
      <c r="X449" s="136"/>
      <c r="Y449" s="135"/>
      <c r="Z449" s="114">
        <f t="shared" si="61"/>
        <v>93</v>
      </c>
    </row>
    <row r="450" spans="1:26" s="103" customFormat="1" x14ac:dyDescent="0.25">
      <c r="A450" s="103" t="s">
        <v>1821</v>
      </c>
      <c r="B450" s="215" t="s">
        <v>1822</v>
      </c>
      <c r="E450" s="97"/>
      <c r="F450" s="97" t="s">
        <v>865</v>
      </c>
      <c r="G450" s="132" t="str">
        <f t="shared" si="56"/>
        <v>14/4/2008</v>
      </c>
      <c r="H450" s="103">
        <v>14</v>
      </c>
      <c r="I450" s="103">
        <v>4</v>
      </c>
      <c r="J450" s="103">
        <v>2008</v>
      </c>
      <c r="K450" s="103" t="s">
        <v>1817</v>
      </c>
      <c r="L450" s="97"/>
      <c r="M450" s="103" t="s">
        <v>796</v>
      </c>
      <c r="N450" s="221">
        <v>5048.32</v>
      </c>
      <c r="O450" s="221"/>
      <c r="Q450" s="103">
        <v>10</v>
      </c>
      <c r="R450" s="30">
        <f t="shared" si="57"/>
        <v>42.061</v>
      </c>
      <c r="S450" s="5">
        <v>3869.6120000000001</v>
      </c>
      <c r="T450" s="135">
        <f t="shared" si="58"/>
        <v>3911.6729999999998</v>
      </c>
      <c r="U450" s="15">
        <f t="shared" si="59"/>
        <v>42.060999999999694</v>
      </c>
      <c r="V450" s="135">
        <f t="shared" si="60"/>
        <v>1136.6469999999999</v>
      </c>
      <c r="W450" s="103">
        <v>10899</v>
      </c>
      <c r="X450" s="136"/>
      <c r="Y450" s="135"/>
      <c r="Z450" s="114">
        <f t="shared" si="61"/>
        <v>93</v>
      </c>
    </row>
    <row r="451" spans="1:26" s="103" customFormat="1" x14ac:dyDescent="0.25">
      <c r="A451" s="103" t="s">
        <v>1823</v>
      </c>
      <c r="B451" s="215" t="s">
        <v>1824</v>
      </c>
      <c r="E451" s="97"/>
      <c r="F451" s="97" t="s">
        <v>865</v>
      </c>
      <c r="G451" s="132" t="str">
        <f t="shared" si="56"/>
        <v>14/4/2008</v>
      </c>
      <c r="H451" s="103">
        <v>14</v>
      </c>
      <c r="I451" s="103">
        <v>4</v>
      </c>
      <c r="J451" s="103">
        <v>2008</v>
      </c>
      <c r="K451" s="103" t="s">
        <v>1817</v>
      </c>
      <c r="L451" s="97"/>
      <c r="M451" s="103" t="s">
        <v>796</v>
      </c>
      <c r="N451" s="221">
        <v>2285.1999999999998</v>
      </c>
      <c r="O451" s="221"/>
      <c r="Q451" s="103">
        <v>10</v>
      </c>
      <c r="R451" s="30">
        <f t="shared" si="57"/>
        <v>19.035</v>
      </c>
      <c r="S451" s="5">
        <v>1751.22</v>
      </c>
      <c r="T451" s="135">
        <f t="shared" si="58"/>
        <v>1770.2550000000001</v>
      </c>
      <c r="U451" s="15">
        <f t="shared" si="59"/>
        <v>19.035000000000082</v>
      </c>
      <c r="V451" s="135">
        <f t="shared" si="60"/>
        <v>514.94499999999971</v>
      </c>
      <c r="W451" s="103">
        <v>10899</v>
      </c>
      <c r="X451" s="136"/>
      <c r="Y451" s="135"/>
      <c r="Z451" s="114">
        <f t="shared" si="61"/>
        <v>93</v>
      </c>
    </row>
    <row r="452" spans="1:26" s="103" customFormat="1" x14ac:dyDescent="0.25">
      <c r="A452" s="103" t="s">
        <v>1825</v>
      </c>
      <c r="B452" s="215" t="s">
        <v>1826</v>
      </c>
      <c r="E452" s="97"/>
      <c r="F452" s="97" t="s">
        <v>865</v>
      </c>
      <c r="G452" s="132" t="str">
        <f t="shared" si="56"/>
        <v>14/4/2008</v>
      </c>
      <c r="H452" s="103">
        <v>14</v>
      </c>
      <c r="I452" s="103">
        <v>4</v>
      </c>
      <c r="J452" s="103">
        <v>2008</v>
      </c>
      <c r="K452" s="103" t="s">
        <v>1817</v>
      </c>
      <c r="L452" s="97"/>
      <c r="M452" s="103" t="s">
        <v>796</v>
      </c>
      <c r="N452" s="221">
        <v>1603.58</v>
      </c>
      <c r="O452" s="221"/>
      <c r="Q452" s="103">
        <v>10</v>
      </c>
      <c r="R452" s="30">
        <f t="shared" si="57"/>
        <v>13.354833333333332</v>
      </c>
      <c r="S452" s="5">
        <v>1228.6446666666666</v>
      </c>
      <c r="T452" s="135">
        <f t="shared" si="58"/>
        <v>1241.9994999999999</v>
      </c>
      <c r="U452" s="15">
        <f t="shared" si="59"/>
        <v>13.354833333333318</v>
      </c>
      <c r="V452" s="135">
        <f t="shared" si="60"/>
        <v>361.58050000000003</v>
      </c>
      <c r="W452" s="103">
        <v>10899</v>
      </c>
      <c r="X452" s="136"/>
      <c r="Y452" s="135"/>
      <c r="Z452" s="114">
        <f t="shared" si="61"/>
        <v>93</v>
      </c>
    </row>
    <row r="453" spans="1:26" s="103" customFormat="1" x14ac:dyDescent="0.25">
      <c r="A453" s="103" t="s">
        <v>1827</v>
      </c>
      <c r="B453" s="215" t="s">
        <v>1828</v>
      </c>
      <c r="E453" s="97"/>
      <c r="F453" s="97" t="s">
        <v>865</v>
      </c>
      <c r="G453" s="132" t="str">
        <f t="shared" si="56"/>
        <v>14/4/2008</v>
      </c>
      <c r="H453" s="103">
        <v>14</v>
      </c>
      <c r="I453" s="103">
        <v>4</v>
      </c>
      <c r="J453" s="103">
        <v>2008</v>
      </c>
      <c r="K453" s="103" t="s">
        <v>1817</v>
      </c>
      <c r="L453" s="97"/>
      <c r="M453" s="103" t="s">
        <v>796</v>
      </c>
      <c r="N453" s="221">
        <v>3925.44</v>
      </c>
      <c r="O453" s="221"/>
      <c r="Q453" s="103">
        <v>10</v>
      </c>
      <c r="R453" s="30">
        <f t="shared" si="57"/>
        <v>32.70366666666667</v>
      </c>
      <c r="S453" s="5">
        <v>3008.7373333333335</v>
      </c>
      <c r="T453" s="135">
        <f t="shared" si="58"/>
        <v>3041.4410000000003</v>
      </c>
      <c r="U453" s="15">
        <f t="shared" si="59"/>
        <v>32.703666666666777</v>
      </c>
      <c r="V453" s="135">
        <f t="shared" si="60"/>
        <v>883.9989999999998</v>
      </c>
      <c r="X453" s="136"/>
      <c r="Y453" s="135"/>
      <c r="Z453" s="114">
        <f t="shared" si="61"/>
        <v>93</v>
      </c>
    </row>
    <row r="454" spans="1:26" s="103" customFormat="1" x14ac:dyDescent="0.25">
      <c r="A454" s="103" t="s">
        <v>1829</v>
      </c>
      <c r="B454" s="215" t="s">
        <v>1830</v>
      </c>
      <c r="D454" s="103" t="s">
        <v>1831</v>
      </c>
      <c r="E454" s="97"/>
      <c r="F454" s="97" t="s">
        <v>1764</v>
      </c>
      <c r="G454" s="132" t="str">
        <f t="shared" si="56"/>
        <v>23/5/2008</v>
      </c>
      <c r="H454" s="103">
        <v>23</v>
      </c>
      <c r="I454" s="103">
        <v>5</v>
      </c>
      <c r="J454" s="103">
        <v>2008</v>
      </c>
      <c r="K454" s="103" t="s">
        <v>1817</v>
      </c>
      <c r="L454" s="97"/>
      <c r="M454" s="103" t="s">
        <v>796</v>
      </c>
      <c r="N454" s="216">
        <v>2279.4</v>
      </c>
      <c r="O454" s="216"/>
      <c r="Q454" s="103">
        <v>10</v>
      </c>
      <c r="R454" s="30">
        <f t="shared" si="57"/>
        <v>18.986666666666668</v>
      </c>
      <c r="S454" s="5">
        <v>1727.7866666666669</v>
      </c>
      <c r="T454" s="135">
        <f t="shared" si="58"/>
        <v>1746.7733333333335</v>
      </c>
      <c r="U454" s="15">
        <f t="shared" si="59"/>
        <v>18.986666666666679</v>
      </c>
      <c r="V454" s="135">
        <f t="shared" si="60"/>
        <v>532.62666666666655</v>
      </c>
      <c r="W454" s="103">
        <v>11040</v>
      </c>
      <c r="X454" s="136"/>
      <c r="Y454" s="135"/>
      <c r="Z454" s="114">
        <f t="shared" si="61"/>
        <v>92</v>
      </c>
    </row>
    <row r="455" spans="1:26" s="103" customFormat="1" x14ac:dyDescent="0.25">
      <c r="A455" s="103" t="s">
        <v>1832</v>
      </c>
      <c r="B455" s="215" t="s">
        <v>1830</v>
      </c>
      <c r="D455" s="103" t="s">
        <v>1831</v>
      </c>
      <c r="E455" s="97"/>
      <c r="F455" s="97" t="s">
        <v>1764</v>
      </c>
      <c r="G455" s="132" t="str">
        <f t="shared" si="56"/>
        <v>23/5/2008</v>
      </c>
      <c r="H455" s="103">
        <v>23</v>
      </c>
      <c r="I455" s="103">
        <v>5</v>
      </c>
      <c r="J455" s="103">
        <v>2008</v>
      </c>
      <c r="K455" s="103" t="s">
        <v>1817</v>
      </c>
      <c r="L455" s="97"/>
      <c r="M455" s="103" t="s">
        <v>796</v>
      </c>
      <c r="N455" s="216">
        <v>2279.4</v>
      </c>
      <c r="O455" s="216"/>
      <c r="Q455" s="103">
        <v>10</v>
      </c>
      <c r="R455" s="30">
        <f t="shared" si="57"/>
        <v>18.986666666666668</v>
      </c>
      <c r="S455" s="5">
        <v>1727.7866666666669</v>
      </c>
      <c r="T455" s="135">
        <f t="shared" si="58"/>
        <v>1746.7733333333335</v>
      </c>
      <c r="U455" s="15">
        <f t="shared" si="59"/>
        <v>18.986666666666679</v>
      </c>
      <c r="V455" s="135">
        <f t="shared" si="60"/>
        <v>532.62666666666655</v>
      </c>
      <c r="W455" s="103">
        <v>11040</v>
      </c>
      <c r="X455" s="136"/>
      <c r="Y455" s="135"/>
      <c r="Z455" s="114">
        <f t="shared" si="61"/>
        <v>92</v>
      </c>
    </row>
    <row r="456" spans="1:26" s="103" customFormat="1" x14ac:dyDescent="0.25">
      <c r="A456" s="103" t="s">
        <v>1833</v>
      </c>
      <c r="B456" s="215" t="s">
        <v>1830</v>
      </c>
      <c r="D456" s="103" t="s">
        <v>1831</v>
      </c>
      <c r="E456" s="97"/>
      <c r="F456" s="97" t="s">
        <v>1764</v>
      </c>
      <c r="G456" s="132" t="str">
        <f t="shared" si="56"/>
        <v>23/5/2008</v>
      </c>
      <c r="H456" s="103">
        <v>23</v>
      </c>
      <c r="I456" s="103">
        <v>5</v>
      </c>
      <c r="J456" s="103">
        <v>2008</v>
      </c>
      <c r="K456" s="103" t="s">
        <v>1817</v>
      </c>
      <c r="L456" s="97"/>
      <c r="M456" s="103" t="s">
        <v>796</v>
      </c>
      <c r="N456" s="216">
        <v>2279.4</v>
      </c>
      <c r="O456" s="216"/>
      <c r="Q456" s="103">
        <v>10</v>
      </c>
      <c r="R456" s="30">
        <f t="shared" si="57"/>
        <v>18.986666666666668</v>
      </c>
      <c r="S456" s="5">
        <v>1727.7866666666669</v>
      </c>
      <c r="T456" s="135">
        <f t="shared" si="58"/>
        <v>1746.7733333333335</v>
      </c>
      <c r="U456" s="15">
        <f t="shared" si="59"/>
        <v>18.986666666666679</v>
      </c>
      <c r="V456" s="135">
        <f t="shared" si="60"/>
        <v>532.62666666666655</v>
      </c>
      <c r="W456" s="103">
        <v>11040</v>
      </c>
      <c r="X456" s="136"/>
      <c r="Y456" s="135"/>
      <c r="Z456" s="114">
        <f t="shared" si="61"/>
        <v>92</v>
      </c>
    </row>
    <row r="457" spans="1:26" s="103" customFormat="1" x14ac:dyDescent="0.25">
      <c r="A457" s="103" t="s">
        <v>1834</v>
      </c>
      <c r="B457" s="215" t="s">
        <v>1830</v>
      </c>
      <c r="D457" s="103" t="s">
        <v>1831</v>
      </c>
      <c r="E457" s="97"/>
      <c r="F457" s="97" t="s">
        <v>1764</v>
      </c>
      <c r="G457" s="132" t="str">
        <f t="shared" si="56"/>
        <v>23/5/2008</v>
      </c>
      <c r="H457" s="103">
        <v>23</v>
      </c>
      <c r="I457" s="103">
        <v>5</v>
      </c>
      <c r="J457" s="103">
        <v>2008</v>
      </c>
      <c r="K457" s="103" t="s">
        <v>1817</v>
      </c>
      <c r="L457" s="97"/>
      <c r="M457" s="103" t="s">
        <v>796</v>
      </c>
      <c r="N457" s="216">
        <v>2279.4</v>
      </c>
      <c r="O457" s="216"/>
      <c r="Q457" s="103">
        <v>10</v>
      </c>
      <c r="R457" s="30">
        <f t="shared" si="57"/>
        <v>18.986666666666668</v>
      </c>
      <c r="S457" s="5">
        <v>1727.7866666666669</v>
      </c>
      <c r="T457" s="135">
        <f t="shared" si="58"/>
        <v>1746.7733333333335</v>
      </c>
      <c r="U457" s="15">
        <f t="shared" si="59"/>
        <v>18.986666666666679</v>
      </c>
      <c r="V457" s="135">
        <f t="shared" si="60"/>
        <v>532.62666666666655</v>
      </c>
      <c r="W457" s="103">
        <v>11040</v>
      </c>
      <c r="X457" s="136"/>
      <c r="Y457" s="135"/>
      <c r="Z457" s="114">
        <f t="shared" si="61"/>
        <v>92</v>
      </c>
    </row>
    <row r="458" spans="1:26" s="103" customFormat="1" x14ac:dyDescent="0.25">
      <c r="A458" s="103" t="s">
        <v>1835</v>
      </c>
      <c r="B458" s="215" t="s">
        <v>1830</v>
      </c>
      <c r="D458" s="103" t="s">
        <v>1831</v>
      </c>
      <c r="E458" s="97"/>
      <c r="F458" s="97" t="s">
        <v>1764</v>
      </c>
      <c r="G458" s="132" t="str">
        <f t="shared" si="56"/>
        <v>23/5/2008</v>
      </c>
      <c r="H458" s="103">
        <v>23</v>
      </c>
      <c r="I458" s="103">
        <v>5</v>
      </c>
      <c r="J458" s="103">
        <v>2008</v>
      </c>
      <c r="K458" s="103" t="s">
        <v>1817</v>
      </c>
      <c r="L458" s="97"/>
      <c r="M458" s="103" t="s">
        <v>796</v>
      </c>
      <c r="N458" s="216">
        <v>2279.4</v>
      </c>
      <c r="O458" s="216"/>
      <c r="Q458" s="103">
        <v>10</v>
      </c>
      <c r="R458" s="30">
        <f t="shared" si="57"/>
        <v>18.986666666666668</v>
      </c>
      <c r="S458" s="5">
        <v>1727.7866666666669</v>
      </c>
      <c r="T458" s="135">
        <f t="shared" si="58"/>
        <v>1746.7733333333335</v>
      </c>
      <c r="U458" s="15">
        <f t="shared" si="59"/>
        <v>18.986666666666679</v>
      </c>
      <c r="V458" s="135">
        <f t="shared" si="60"/>
        <v>532.62666666666655</v>
      </c>
      <c r="W458" s="103">
        <v>11040</v>
      </c>
      <c r="X458" s="136"/>
      <c r="Y458" s="135"/>
      <c r="Z458" s="114">
        <f t="shared" si="61"/>
        <v>92</v>
      </c>
    </row>
    <row r="459" spans="1:26" s="245" customFormat="1" x14ac:dyDescent="0.25">
      <c r="A459" s="245" t="s">
        <v>1836</v>
      </c>
      <c r="B459" s="245" t="s">
        <v>1837</v>
      </c>
      <c r="E459" s="97"/>
      <c r="F459" s="97" t="s">
        <v>1764</v>
      </c>
      <c r="G459" s="132" t="str">
        <f t="shared" si="56"/>
        <v>23/5/2008</v>
      </c>
      <c r="H459" s="245">
        <v>23</v>
      </c>
      <c r="I459" s="245">
        <v>5</v>
      </c>
      <c r="J459" s="245">
        <v>2008</v>
      </c>
      <c r="K459" s="245" t="s">
        <v>1817</v>
      </c>
      <c r="L459" s="97"/>
      <c r="M459" s="245" t="s">
        <v>796</v>
      </c>
      <c r="N459" s="349">
        <v>2574.04</v>
      </c>
      <c r="O459" s="349"/>
      <c r="Q459" s="245">
        <v>10</v>
      </c>
      <c r="R459" s="30">
        <f t="shared" si="57"/>
        <v>21.441999999999997</v>
      </c>
      <c r="S459" s="5">
        <v>1951.2219999999998</v>
      </c>
      <c r="T459" s="313">
        <f t="shared" si="58"/>
        <v>1972.6639999999998</v>
      </c>
      <c r="U459" s="15">
        <f t="shared" si="59"/>
        <v>21.442000000000007</v>
      </c>
      <c r="V459" s="313">
        <f t="shared" si="60"/>
        <v>601.3760000000002</v>
      </c>
      <c r="W459" s="245">
        <v>11040</v>
      </c>
      <c r="X459" s="312"/>
      <c r="Y459" s="313"/>
      <c r="Z459" s="114">
        <f t="shared" si="61"/>
        <v>92</v>
      </c>
    </row>
    <row r="460" spans="1:26" s="245" customFormat="1" x14ac:dyDescent="0.25">
      <c r="A460" s="245" t="s">
        <v>1838</v>
      </c>
      <c r="B460" s="245" t="s">
        <v>1837</v>
      </c>
      <c r="E460" s="97"/>
      <c r="F460" s="97" t="s">
        <v>1764</v>
      </c>
      <c r="G460" s="132" t="str">
        <f t="shared" si="56"/>
        <v>23/5/2008</v>
      </c>
      <c r="H460" s="245">
        <v>23</v>
      </c>
      <c r="I460" s="245">
        <v>5</v>
      </c>
      <c r="J460" s="245">
        <v>2008</v>
      </c>
      <c r="K460" s="245" t="s">
        <v>1817</v>
      </c>
      <c r="L460" s="97"/>
      <c r="M460" s="245" t="s">
        <v>796</v>
      </c>
      <c r="N460" s="349">
        <v>2574.04</v>
      </c>
      <c r="O460" s="349"/>
      <c r="Q460" s="245">
        <v>10</v>
      </c>
      <c r="R460" s="30">
        <f t="shared" si="57"/>
        <v>21.441999999999997</v>
      </c>
      <c r="S460" s="5">
        <v>1951.2219999999998</v>
      </c>
      <c r="T460" s="313">
        <f t="shared" si="58"/>
        <v>1972.6639999999998</v>
      </c>
      <c r="U460" s="15">
        <f t="shared" si="59"/>
        <v>21.442000000000007</v>
      </c>
      <c r="V460" s="313">
        <f t="shared" si="60"/>
        <v>601.3760000000002</v>
      </c>
      <c r="W460" s="245">
        <v>11040</v>
      </c>
      <c r="X460" s="312"/>
      <c r="Y460" s="313"/>
      <c r="Z460" s="114">
        <f t="shared" si="61"/>
        <v>92</v>
      </c>
    </row>
    <row r="461" spans="1:26" s="245" customFormat="1" x14ac:dyDescent="0.25">
      <c r="A461" s="245" t="s">
        <v>1839</v>
      </c>
      <c r="B461" s="245" t="s">
        <v>1837</v>
      </c>
      <c r="E461" s="97"/>
      <c r="F461" s="97" t="s">
        <v>1764</v>
      </c>
      <c r="G461" s="132" t="str">
        <f t="shared" si="56"/>
        <v>23/5/2008</v>
      </c>
      <c r="H461" s="245">
        <v>23</v>
      </c>
      <c r="I461" s="245">
        <v>5</v>
      </c>
      <c r="J461" s="245">
        <v>2008</v>
      </c>
      <c r="K461" s="245" t="s">
        <v>1817</v>
      </c>
      <c r="L461" s="97"/>
      <c r="M461" s="245" t="s">
        <v>796</v>
      </c>
      <c r="N461" s="349">
        <v>2574.04</v>
      </c>
      <c r="O461" s="349"/>
      <c r="Q461" s="245">
        <v>10</v>
      </c>
      <c r="R461" s="30">
        <f t="shared" si="57"/>
        <v>21.441999999999997</v>
      </c>
      <c r="S461" s="5">
        <v>1951.2219999999998</v>
      </c>
      <c r="T461" s="313">
        <f t="shared" si="58"/>
        <v>1972.6639999999998</v>
      </c>
      <c r="U461" s="15">
        <f t="shared" si="59"/>
        <v>21.442000000000007</v>
      </c>
      <c r="V461" s="313">
        <f t="shared" si="60"/>
        <v>601.3760000000002</v>
      </c>
      <c r="W461" s="245">
        <v>11040</v>
      </c>
      <c r="X461" s="312"/>
      <c r="Y461" s="313"/>
      <c r="Z461" s="114">
        <f t="shared" si="61"/>
        <v>92</v>
      </c>
    </row>
    <row r="462" spans="1:26" s="245" customFormat="1" x14ac:dyDescent="0.25">
      <c r="A462" s="245" t="s">
        <v>1840</v>
      </c>
      <c r="B462" s="245" t="s">
        <v>1837</v>
      </c>
      <c r="E462" s="97"/>
      <c r="F462" s="97" t="s">
        <v>1764</v>
      </c>
      <c r="G462" s="132" t="str">
        <f t="shared" si="56"/>
        <v>23/5/2008</v>
      </c>
      <c r="H462" s="245">
        <v>23</v>
      </c>
      <c r="I462" s="245">
        <v>5</v>
      </c>
      <c r="J462" s="245">
        <v>2008</v>
      </c>
      <c r="K462" s="245" t="s">
        <v>1817</v>
      </c>
      <c r="L462" s="97"/>
      <c r="M462" s="245" t="s">
        <v>796</v>
      </c>
      <c r="N462" s="349">
        <v>2574.04</v>
      </c>
      <c r="O462" s="349"/>
      <c r="Q462" s="245">
        <v>10</v>
      </c>
      <c r="R462" s="30">
        <f t="shared" si="57"/>
        <v>21.441999999999997</v>
      </c>
      <c r="S462" s="5">
        <v>1951.2219999999998</v>
      </c>
      <c r="T462" s="313">
        <f t="shared" si="58"/>
        <v>1972.6639999999998</v>
      </c>
      <c r="U462" s="15">
        <f t="shared" si="59"/>
        <v>21.442000000000007</v>
      </c>
      <c r="V462" s="313">
        <f t="shared" si="60"/>
        <v>601.3760000000002</v>
      </c>
      <c r="W462" s="245">
        <v>11040</v>
      </c>
      <c r="X462" s="312"/>
      <c r="Y462" s="313"/>
      <c r="Z462" s="114">
        <f t="shared" si="61"/>
        <v>92</v>
      </c>
    </row>
    <row r="463" spans="1:26" s="245" customFormat="1" x14ac:dyDescent="0.25">
      <c r="A463" s="245" t="s">
        <v>1841</v>
      </c>
      <c r="B463" s="245" t="s">
        <v>1837</v>
      </c>
      <c r="E463" s="97"/>
      <c r="F463" s="97" t="s">
        <v>1764</v>
      </c>
      <c r="G463" s="132" t="str">
        <f t="shared" si="56"/>
        <v>23/5/2008</v>
      </c>
      <c r="H463" s="245">
        <v>23</v>
      </c>
      <c r="I463" s="245">
        <v>5</v>
      </c>
      <c r="J463" s="245">
        <v>2008</v>
      </c>
      <c r="K463" s="245" t="s">
        <v>1817</v>
      </c>
      <c r="L463" s="97"/>
      <c r="M463" s="245" t="s">
        <v>796</v>
      </c>
      <c r="N463" s="349">
        <v>2574.04</v>
      </c>
      <c r="O463" s="349"/>
      <c r="Q463" s="245">
        <v>10</v>
      </c>
      <c r="R463" s="30">
        <f t="shared" si="57"/>
        <v>21.441999999999997</v>
      </c>
      <c r="S463" s="5">
        <v>1951.2219999999998</v>
      </c>
      <c r="T463" s="313">
        <f t="shared" si="58"/>
        <v>1972.6639999999998</v>
      </c>
      <c r="U463" s="15">
        <f t="shared" si="59"/>
        <v>21.442000000000007</v>
      </c>
      <c r="V463" s="313">
        <f t="shared" si="60"/>
        <v>601.3760000000002</v>
      </c>
      <c r="W463" s="245">
        <v>11040</v>
      </c>
      <c r="X463" s="312"/>
      <c r="Y463" s="313"/>
      <c r="Z463" s="114">
        <f t="shared" si="61"/>
        <v>92</v>
      </c>
    </row>
    <row r="464" spans="1:26" s="245" customFormat="1" x14ac:dyDescent="0.25">
      <c r="A464" s="245" t="s">
        <v>1842</v>
      </c>
      <c r="B464" s="245" t="s">
        <v>1843</v>
      </c>
      <c r="D464" s="245" t="s">
        <v>1844</v>
      </c>
      <c r="E464" s="97"/>
      <c r="F464" s="97" t="s">
        <v>1764</v>
      </c>
      <c r="G464" s="132" t="str">
        <f t="shared" si="56"/>
        <v>23/5/2008</v>
      </c>
      <c r="H464" s="245">
        <v>23</v>
      </c>
      <c r="I464" s="245">
        <v>5</v>
      </c>
      <c r="J464" s="245">
        <v>2008</v>
      </c>
      <c r="K464" s="245" t="s">
        <v>1817</v>
      </c>
      <c r="L464" s="97"/>
      <c r="M464" s="245" t="s">
        <v>796</v>
      </c>
      <c r="N464" s="349">
        <v>636.84</v>
      </c>
      <c r="O464" s="349"/>
      <c r="Q464" s="245">
        <v>10</v>
      </c>
      <c r="R464" s="30">
        <f t="shared" si="57"/>
        <v>5.2986666666666666</v>
      </c>
      <c r="S464" s="5">
        <v>482.17866666666669</v>
      </c>
      <c r="T464" s="313">
        <f t="shared" si="58"/>
        <v>487.47733333333332</v>
      </c>
      <c r="U464" s="15">
        <f t="shared" si="59"/>
        <v>5.2986666666666338</v>
      </c>
      <c r="V464" s="313">
        <f t="shared" si="60"/>
        <v>149.36266666666671</v>
      </c>
      <c r="W464" s="245">
        <v>11040</v>
      </c>
      <c r="X464" s="312"/>
      <c r="Y464" s="313"/>
      <c r="Z464" s="114">
        <f t="shared" si="61"/>
        <v>92</v>
      </c>
    </row>
    <row r="465" spans="1:26" s="245" customFormat="1" x14ac:dyDescent="0.25">
      <c r="A465" s="245" t="s">
        <v>1845</v>
      </c>
      <c r="B465" s="245" t="s">
        <v>1843</v>
      </c>
      <c r="D465" s="245" t="s">
        <v>1844</v>
      </c>
      <c r="E465" s="97"/>
      <c r="F465" s="97" t="s">
        <v>1764</v>
      </c>
      <c r="G465" s="132" t="str">
        <f t="shared" si="56"/>
        <v>23/5/2008</v>
      </c>
      <c r="H465" s="245">
        <v>23</v>
      </c>
      <c r="I465" s="245">
        <v>5</v>
      </c>
      <c r="J465" s="245">
        <v>2008</v>
      </c>
      <c r="K465" s="245" t="s">
        <v>1817</v>
      </c>
      <c r="L465" s="97"/>
      <c r="M465" s="245" t="s">
        <v>796</v>
      </c>
      <c r="N465" s="349">
        <v>636.84</v>
      </c>
      <c r="O465" s="349"/>
      <c r="Q465" s="245">
        <v>10</v>
      </c>
      <c r="R465" s="30">
        <f t="shared" si="57"/>
        <v>5.2986666666666666</v>
      </c>
      <c r="S465" s="5">
        <v>482.17866666666669</v>
      </c>
      <c r="T465" s="313">
        <f t="shared" si="58"/>
        <v>487.47733333333332</v>
      </c>
      <c r="U465" s="15">
        <f t="shared" si="59"/>
        <v>5.2986666666666338</v>
      </c>
      <c r="V465" s="313">
        <f t="shared" si="60"/>
        <v>149.36266666666671</v>
      </c>
      <c r="W465" s="245">
        <v>11040</v>
      </c>
      <c r="X465" s="312"/>
      <c r="Y465" s="313"/>
      <c r="Z465" s="114">
        <f t="shared" si="61"/>
        <v>92</v>
      </c>
    </row>
    <row r="466" spans="1:26" s="245" customFormat="1" x14ac:dyDescent="0.25">
      <c r="A466" s="245" t="s">
        <v>1846</v>
      </c>
      <c r="B466" s="245" t="s">
        <v>1843</v>
      </c>
      <c r="D466" s="245" t="s">
        <v>1844</v>
      </c>
      <c r="E466" s="97"/>
      <c r="F466" s="97" t="s">
        <v>1764</v>
      </c>
      <c r="G466" s="132" t="str">
        <f t="shared" si="56"/>
        <v>23/5/2008</v>
      </c>
      <c r="H466" s="245">
        <v>23</v>
      </c>
      <c r="I466" s="245">
        <v>5</v>
      </c>
      <c r="J466" s="245">
        <v>2008</v>
      </c>
      <c r="K466" s="245" t="s">
        <v>1817</v>
      </c>
      <c r="L466" s="97"/>
      <c r="M466" s="245" t="s">
        <v>796</v>
      </c>
      <c r="N466" s="349">
        <v>636.84</v>
      </c>
      <c r="O466" s="349"/>
      <c r="Q466" s="245">
        <v>10</v>
      </c>
      <c r="R466" s="30">
        <f t="shared" si="57"/>
        <v>5.2986666666666666</v>
      </c>
      <c r="S466" s="5">
        <v>482.17866666666669</v>
      </c>
      <c r="T466" s="313">
        <f t="shared" si="58"/>
        <v>487.47733333333332</v>
      </c>
      <c r="U466" s="15">
        <f t="shared" si="59"/>
        <v>5.2986666666666338</v>
      </c>
      <c r="V466" s="313">
        <f t="shared" si="60"/>
        <v>149.36266666666671</v>
      </c>
      <c r="W466" s="245">
        <v>11040</v>
      </c>
      <c r="X466" s="312"/>
      <c r="Y466" s="313"/>
      <c r="Z466" s="114">
        <f t="shared" si="61"/>
        <v>92</v>
      </c>
    </row>
    <row r="467" spans="1:26" s="245" customFormat="1" x14ac:dyDescent="0.25">
      <c r="A467" s="245" t="s">
        <v>1847</v>
      </c>
      <c r="B467" s="245" t="s">
        <v>1843</v>
      </c>
      <c r="D467" s="245" t="s">
        <v>1844</v>
      </c>
      <c r="E467" s="97"/>
      <c r="F467" s="97" t="s">
        <v>1764</v>
      </c>
      <c r="G467" s="132" t="str">
        <f t="shared" si="56"/>
        <v>23/5/2008</v>
      </c>
      <c r="H467" s="245">
        <v>23</v>
      </c>
      <c r="I467" s="245">
        <v>5</v>
      </c>
      <c r="J467" s="245">
        <v>2008</v>
      </c>
      <c r="K467" s="245" t="s">
        <v>1817</v>
      </c>
      <c r="L467" s="97"/>
      <c r="M467" s="245" t="s">
        <v>796</v>
      </c>
      <c r="N467" s="349">
        <v>636.84</v>
      </c>
      <c r="O467" s="349"/>
      <c r="Q467" s="245">
        <v>10</v>
      </c>
      <c r="R467" s="30">
        <f t="shared" si="57"/>
        <v>5.2986666666666666</v>
      </c>
      <c r="S467" s="5">
        <v>482.17866666666669</v>
      </c>
      <c r="T467" s="313">
        <f t="shared" si="58"/>
        <v>487.47733333333332</v>
      </c>
      <c r="U467" s="15">
        <f t="shared" si="59"/>
        <v>5.2986666666666338</v>
      </c>
      <c r="V467" s="313">
        <f t="shared" si="60"/>
        <v>149.36266666666671</v>
      </c>
      <c r="W467" s="245">
        <v>11040</v>
      </c>
      <c r="X467" s="312"/>
      <c r="Y467" s="313"/>
      <c r="Z467" s="114">
        <f t="shared" si="61"/>
        <v>92</v>
      </c>
    </row>
    <row r="468" spans="1:26" s="245" customFormat="1" x14ac:dyDescent="0.25">
      <c r="A468" s="245" t="s">
        <v>1848</v>
      </c>
      <c r="B468" s="245" t="s">
        <v>1843</v>
      </c>
      <c r="D468" s="245" t="s">
        <v>1844</v>
      </c>
      <c r="E468" s="97"/>
      <c r="F468" s="97" t="s">
        <v>1764</v>
      </c>
      <c r="G468" s="132" t="str">
        <f t="shared" si="56"/>
        <v>23/5/2008</v>
      </c>
      <c r="H468" s="245">
        <v>23</v>
      </c>
      <c r="I468" s="245">
        <v>5</v>
      </c>
      <c r="J468" s="245">
        <v>2008</v>
      </c>
      <c r="K468" s="245" t="s">
        <v>1817</v>
      </c>
      <c r="L468" s="97"/>
      <c r="M468" s="245" t="s">
        <v>796</v>
      </c>
      <c r="N468" s="349">
        <v>636.84</v>
      </c>
      <c r="O468" s="349"/>
      <c r="Q468" s="245">
        <v>10</v>
      </c>
      <c r="R468" s="30">
        <f t="shared" si="57"/>
        <v>5.2986666666666666</v>
      </c>
      <c r="S468" s="5">
        <v>482.17866666666669</v>
      </c>
      <c r="T468" s="313">
        <f t="shared" si="58"/>
        <v>487.47733333333332</v>
      </c>
      <c r="U468" s="15">
        <f t="shared" si="59"/>
        <v>5.2986666666666338</v>
      </c>
      <c r="V468" s="313">
        <f t="shared" si="60"/>
        <v>149.36266666666671</v>
      </c>
      <c r="W468" s="245">
        <v>11040</v>
      </c>
      <c r="X468" s="312"/>
      <c r="Y468" s="313"/>
      <c r="Z468" s="114">
        <f t="shared" si="61"/>
        <v>92</v>
      </c>
    </row>
    <row r="469" spans="1:26" s="245" customFormat="1" x14ac:dyDescent="0.25">
      <c r="A469" s="245" t="s">
        <v>1849</v>
      </c>
      <c r="B469" s="245" t="s">
        <v>1850</v>
      </c>
      <c r="E469" s="97"/>
      <c r="F469" s="97" t="s">
        <v>1764</v>
      </c>
      <c r="G469" s="132" t="str">
        <f t="shared" si="56"/>
        <v>23/5/2008</v>
      </c>
      <c r="H469" s="245">
        <v>23</v>
      </c>
      <c r="I469" s="245">
        <v>5</v>
      </c>
      <c r="J469" s="245">
        <v>2008</v>
      </c>
      <c r="K469" s="245" t="s">
        <v>1817</v>
      </c>
      <c r="L469" s="97"/>
      <c r="M469" s="245" t="s">
        <v>796</v>
      </c>
      <c r="N469" s="349">
        <v>600.88</v>
      </c>
      <c r="O469" s="349"/>
      <c r="Q469" s="245">
        <v>10</v>
      </c>
      <c r="R469" s="30">
        <f t="shared" si="57"/>
        <v>4.9989999999999997</v>
      </c>
      <c r="S469" s="5">
        <v>454.90899999999999</v>
      </c>
      <c r="T469" s="313">
        <f t="shared" si="58"/>
        <v>459.90799999999996</v>
      </c>
      <c r="U469" s="15">
        <f t="shared" si="59"/>
        <v>4.9989999999999668</v>
      </c>
      <c r="V469" s="313">
        <f t="shared" si="60"/>
        <v>140.97200000000004</v>
      </c>
      <c r="W469" s="245">
        <v>11040</v>
      </c>
      <c r="X469" s="312"/>
      <c r="Y469" s="313"/>
      <c r="Z469" s="114">
        <f t="shared" si="61"/>
        <v>92</v>
      </c>
    </row>
    <row r="470" spans="1:26" s="245" customFormat="1" x14ac:dyDescent="0.25">
      <c r="A470" s="245" t="s">
        <v>1851</v>
      </c>
      <c r="B470" s="245" t="s">
        <v>1850</v>
      </c>
      <c r="E470" s="97"/>
      <c r="F470" s="97" t="s">
        <v>1764</v>
      </c>
      <c r="G470" s="132" t="str">
        <f t="shared" si="56"/>
        <v>23/5/2008</v>
      </c>
      <c r="H470" s="245">
        <v>23</v>
      </c>
      <c r="I470" s="245">
        <v>5</v>
      </c>
      <c r="J470" s="245">
        <v>2008</v>
      </c>
      <c r="K470" s="245" t="s">
        <v>1817</v>
      </c>
      <c r="L470" s="97"/>
      <c r="M470" s="245" t="s">
        <v>796</v>
      </c>
      <c r="N470" s="349">
        <v>600.88</v>
      </c>
      <c r="O470" s="349"/>
      <c r="Q470" s="245">
        <v>10</v>
      </c>
      <c r="R470" s="30">
        <f t="shared" si="57"/>
        <v>4.9989999999999997</v>
      </c>
      <c r="S470" s="5">
        <v>454.90899999999999</v>
      </c>
      <c r="T470" s="313">
        <f t="shared" si="58"/>
        <v>459.90799999999996</v>
      </c>
      <c r="U470" s="15">
        <f t="shared" si="59"/>
        <v>4.9989999999999668</v>
      </c>
      <c r="V470" s="313">
        <f t="shared" si="60"/>
        <v>140.97200000000004</v>
      </c>
      <c r="W470" s="245">
        <v>11040</v>
      </c>
      <c r="X470" s="312"/>
      <c r="Y470" s="313"/>
      <c r="Z470" s="114">
        <f t="shared" si="61"/>
        <v>92</v>
      </c>
    </row>
    <row r="471" spans="1:26" s="245" customFormat="1" x14ac:dyDescent="0.25">
      <c r="A471" s="245" t="s">
        <v>1852</v>
      </c>
      <c r="B471" s="245" t="s">
        <v>1850</v>
      </c>
      <c r="E471" s="97"/>
      <c r="F471" s="97" t="s">
        <v>1764</v>
      </c>
      <c r="G471" s="132" t="str">
        <f t="shared" si="56"/>
        <v>23/5/2008</v>
      </c>
      <c r="H471" s="245">
        <v>23</v>
      </c>
      <c r="I471" s="245">
        <v>5</v>
      </c>
      <c r="J471" s="245">
        <v>2008</v>
      </c>
      <c r="K471" s="245" t="s">
        <v>1817</v>
      </c>
      <c r="L471" s="97"/>
      <c r="M471" s="245" t="s">
        <v>796</v>
      </c>
      <c r="N471" s="349">
        <v>600.88</v>
      </c>
      <c r="O471" s="349"/>
      <c r="Q471" s="245">
        <v>10</v>
      </c>
      <c r="R471" s="30">
        <f t="shared" si="57"/>
        <v>4.9989999999999997</v>
      </c>
      <c r="S471" s="5">
        <v>454.90899999999999</v>
      </c>
      <c r="T471" s="313">
        <f t="shared" si="58"/>
        <v>459.90799999999996</v>
      </c>
      <c r="U471" s="15">
        <f t="shared" si="59"/>
        <v>4.9989999999999668</v>
      </c>
      <c r="V471" s="313">
        <f t="shared" si="60"/>
        <v>140.97200000000004</v>
      </c>
      <c r="W471" s="245">
        <v>11040</v>
      </c>
      <c r="X471" s="312"/>
      <c r="Y471" s="313"/>
      <c r="Z471" s="114">
        <f t="shared" si="61"/>
        <v>92</v>
      </c>
    </row>
    <row r="472" spans="1:26" s="245" customFormat="1" x14ac:dyDescent="0.25">
      <c r="A472" s="245" t="s">
        <v>1853</v>
      </c>
      <c r="B472" s="245" t="s">
        <v>1850</v>
      </c>
      <c r="E472" s="97"/>
      <c r="F472" s="97" t="s">
        <v>1764</v>
      </c>
      <c r="G472" s="132" t="str">
        <f t="shared" si="56"/>
        <v>23/5/2008</v>
      </c>
      <c r="H472" s="245">
        <v>23</v>
      </c>
      <c r="I472" s="245">
        <v>5</v>
      </c>
      <c r="J472" s="245">
        <v>2008</v>
      </c>
      <c r="K472" s="245" t="s">
        <v>1817</v>
      </c>
      <c r="L472" s="97"/>
      <c r="M472" s="245" t="s">
        <v>796</v>
      </c>
      <c r="N472" s="349">
        <v>600.88</v>
      </c>
      <c r="O472" s="349"/>
      <c r="Q472" s="245">
        <v>10</v>
      </c>
      <c r="R472" s="30">
        <f t="shared" si="57"/>
        <v>4.9989999999999997</v>
      </c>
      <c r="S472" s="5">
        <v>454.90899999999999</v>
      </c>
      <c r="T472" s="313">
        <f t="shared" si="58"/>
        <v>459.90799999999996</v>
      </c>
      <c r="U472" s="15">
        <f t="shared" si="59"/>
        <v>4.9989999999999668</v>
      </c>
      <c r="V472" s="313">
        <f t="shared" si="60"/>
        <v>140.97200000000004</v>
      </c>
      <c r="W472" s="245">
        <v>11040</v>
      </c>
      <c r="X472" s="312"/>
      <c r="Y472" s="313"/>
      <c r="Z472" s="114">
        <f t="shared" si="61"/>
        <v>92</v>
      </c>
    </row>
    <row r="473" spans="1:26" s="245" customFormat="1" x14ac:dyDescent="0.25">
      <c r="A473" s="245" t="s">
        <v>1854</v>
      </c>
      <c r="B473" s="245" t="s">
        <v>1850</v>
      </c>
      <c r="E473" s="97"/>
      <c r="F473" s="97" t="s">
        <v>1764</v>
      </c>
      <c r="G473" s="132" t="str">
        <f t="shared" si="56"/>
        <v>23/5/2008</v>
      </c>
      <c r="H473" s="245">
        <v>23</v>
      </c>
      <c r="I473" s="245">
        <v>5</v>
      </c>
      <c r="J473" s="245">
        <v>2008</v>
      </c>
      <c r="K473" s="245" t="s">
        <v>1817</v>
      </c>
      <c r="L473" s="97"/>
      <c r="M473" s="245" t="s">
        <v>796</v>
      </c>
      <c r="N473" s="349">
        <v>600.88</v>
      </c>
      <c r="O473" s="349"/>
      <c r="Q473" s="245">
        <v>10</v>
      </c>
      <c r="R473" s="30">
        <f t="shared" si="57"/>
        <v>4.9989999999999997</v>
      </c>
      <c r="S473" s="5">
        <v>454.90899999999999</v>
      </c>
      <c r="T473" s="313">
        <f t="shared" si="58"/>
        <v>459.90799999999996</v>
      </c>
      <c r="U473" s="15">
        <f t="shared" si="59"/>
        <v>4.9989999999999668</v>
      </c>
      <c r="V473" s="313">
        <f t="shared" si="60"/>
        <v>140.97200000000004</v>
      </c>
      <c r="W473" s="245">
        <v>11040</v>
      </c>
      <c r="X473" s="312"/>
      <c r="Y473" s="313"/>
      <c r="Z473" s="114">
        <f t="shared" si="61"/>
        <v>92</v>
      </c>
    </row>
    <row r="474" spans="1:26" s="245" customFormat="1" x14ac:dyDescent="0.25">
      <c r="A474" s="245" t="s">
        <v>1855</v>
      </c>
      <c r="B474" s="245" t="s">
        <v>1850</v>
      </c>
      <c r="E474" s="97"/>
      <c r="F474" s="97" t="s">
        <v>1764</v>
      </c>
      <c r="G474" s="132" t="str">
        <f t="shared" si="56"/>
        <v>23/5/2008</v>
      </c>
      <c r="H474" s="245">
        <v>23</v>
      </c>
      <c r="I474" s="245">
        <v>5</v>
      </c>
      <c r="J474" s="245">
        <v>2008</v>
      </c>
      <c r="K474" s="245" t="s">
        <v>1817</v>
      </c>
      <c r="L474" s="97"/>
      <c r="M474" s="245" t="s">
        <v>796</v>
      </c>
      <c r="N474" s="349">
        <v>600.88</v>
      </c>
      <c r="O474" s="349"/>
      <c r="Q474" s="245">
        <v>10</v>
      </c>
      <c r="R474" s="30">
        <f t="shared" si="57"/>
        <v>4.9989999999999997</v>
      </c>
      <c r="S474" s="5">
        <v>454.90899999999999</v>
      </c>
      <c r="T474" s="313">
        <f t="shared" si="58"/>
        <v>459.90799999999996</v>
      </c>
      <c r="U474" s="15">
        <f t="shared" si="59"/>
        <v>4.9989999999999668</v>
      </c>
      <c r="V474" s="313">
        <f t="shared" si="60"/>
        <v>140.97200000000004</v>
      </c>
      <c r="W474" s="245">
        <v>11040</v>
      </c>
      <c r="X474" s="312"/>
      <c r="Y474" s="313"/>
      <c r="Z474" s="114">
        <f t="shared" si="61"/>
        <v>92</v>
      </c>
    </row>
    <row r="475" spans="1:26" s="245" customFormat="1" x14ac:dyDescent="0.25">
      <c r="A475" s="245" t="s">
        <v>1856</v>
      </c>
      <c r="B475" s="245" t="s">
        <v>1850</v>
      </c>
      <c r="E475" s="97"/>
      <c r="F475" s="97" t="s">
        <v>1764</v>
      </c>
      <c r="G475" s="132" t="str">
        <f t="shared" si="56"/>
        <v>23/5/2008</v>
      </c>
      <c r="H475" s="245">
        <v>23</v>
      </c>
      <c r="I475" s="245">
        <v>5</v>
      </c>
      <c r="J475" s="245">
        <v>2008</v>
      </c>
      <c r="K475" s="245" t="s">
        <v>1817</v>
      </c>
      <c r="L475" s="97"/>
      <c r="M475" s="245" t="s">
        <v>796</v>
      </c>
      <c r="N475" s="349">
        <v>600.88</v>
      </c>
      <c r="O475" s="349"/>
      <c r="Q475" s="245">
        <v>10</v>
      </c>
      <c r="R475" s="30">
        <f t="shared" si="57"/>
        <v>4.9989999999999997</v>
      </c>
      <c r="S475" s="5">
        <v>454.90899999999999</v>
      </c>
      <c r="T475" s="313">
        <f t="shared" si="58"/>
        <v>459.90799999999996</v>
      </c>
      <c r="U475" s="15">
        <f t="shared" si="59"/>
        <v>4.9989999999999668</v>
      </c>
      <c r="V475" s="313">
        <f t="shared" si="60"/>
        <v>140.97200000000004</v>
      </c>
      <c r="W475" s="245">
        <v>11040</v>
      </c>
      <c r="X475" s="312"/>
      <c r="Y475" s="313"/>
      <c r="Z475" s="114">
        <f t="shared" si="61"/>
        <v>92</v>
      </c>
    </row>
    <row r="476" spans="1:26" s="245" customFormat="1" x14ac:dyDescent="0.25">
      <c r="A476" s="245" t="s">
        <v>1857</v>
      </c>
      <c r="B476" s="245" t="s">
        <v>1850</v>
      </c>
      <c r="E476" s="97"/>
      <c r="F476" s="97" t="s">
        <v>1764</v>
      </c>
      <c r="G476" s="132" t="str">
        <f t="shared" si="56"/>
        <v>23/5/2008</v>
      </c>
      <c r="H476" s="245">
        <v>23</v>
      </c>
      <c r="I476" s="245">
        <v>5</v>
      </c>
      <c r="J476" s="245">
        <v>2008</v>
      </c>
      <c r="K476" s="245" t="s">
        <v>1817</v>
      </c>
      <c r="L476" s="97"/>
      <c r="M476" s="245" t="s">
        <v>796</v>
      </c>
      <c r="N476" s="349">
        <v>600.88</v>
      </c>
      <c r="O476" s="349"/>
      <c r="Q476" s="245">
        <v>10</v>
      </c>
      <c r="R476" s="30">
        <f t="shared" si="57"/>
        <v>4.9989999999999997</v>
      </c>
      <c r="S476" s="5">
        <v>454.90899999999999</v>
      </c>
      <c r="T476" s="313">
        <f t="shared" si="58"/>
        <v>459.90799999999996</v>
      </c>
      <c r="U476" s="15">
        <f t="shared" si="59"/>
        <v>4.9989999999999668</v>
      </c>
      <c r="V476" s="313">
        <f t="shared" si="60"/>
        <v>140.97200000000004</v>
      </c>
      <c r="W476" s="245">
        <v>11040</v>
      </c>
      <c r="X476" s="312"/>
      <c r="Y476" s="313"/>
      <c r="Z476" s="114">
        <f t="shared" si="61"/>
        <v>92</v>
      </c>
    </row>
    <row r="477" spans="1:26" s="245" customFormat="1" x14ac:dyDescent="0.25">
      <c r="A477" s="245" t="s">
        <v>1858</v>
      </c>
      <c r="B477" s="245" t="s">
        <v>1850</v>
      </c>
      <c r="E477" s="97"/>
      <c r="F477" s="97" t="s">
        <v>1764</v>
      </c>
      <c r="G477" s="132" t="str">
        <f t="shared" si="56"/>
        <v>23/5/2008</v>
      </c>
      <c r="H477" s="245">
        <v>23</v>
      </c>
      <c r="I477" s="245">
        <v>5</v>
      </c>
      <c r="J477" s="245">
        <v>2008</v>
      </c>
      <c r="K477" s="245" t="s">
        <v>1817</v>
      </c>
      <c r="L477" s="97"/>
      <c r="M477" s="245" t="s">
        <v>796</v>
      </c>
      <c r="N477" s="349">
        <v>600.88</v>
      </c>
      <c r="O477" s="349"/>
      <c r="Q477" s="245">
        <v>10</v>
      </c>
      <c r="R477" s="30">
        <f t="shared" si="57"/>
        <v>4.9989999999999997</v>
      </c>
      <c r="S477" s="5">
        <v>454.90899999999999</v>
      </c>
      <c r="T477" s="313">
        <f t="shared" si="58"/>
        <v>459.90799999999996</v>
      </c>
      <c r="U477" s="15">
        <f t="shared" si="59"/>
        <v>4.9989999999999668</v>
      </c>
      <c r="V477" s="313">
        <f t="shared" si="60"/>
        <v>140.97200000000004</v>
      </c>
      <c r="W477" s="245">
        <v>11040</v>
      </c>
      <c r="X477" s="312"/>
      <c r="Y477" s="313"/>
      <c r="Z477" s="114">
        <f t="shared" si="61"/>
        <v>92</v>
      </c>
    </row>
    <row r="478" spans="1:26" s="245" customFormat="1" x14ac:dyDescent="0.25">
      <c r="A478" s="245" t="s">
        <v>1859</v>
      </c>
      <c r="B478" s="245" t="s">
        <v>1850</v>
      </c>
      <c r="E478" s="97"/>
      <c r="F478" s="97" t="s">
        <v>1764</v>
      </c>
      <c r="G478" s="132" t="str">
        <f t="shared" si="56"/>
        <v>23/5/2008</v>
      </c>
      <c r="H478" s="245">
        <v>23</v>
      </c>
      <c r="I478" s="245">
        <v>5</v>
      </c>
      <c r="J478" s="245">
        <v>2008</v>
      </c>
      <c r="K478" s="245" t="s">
        <v>1817</v>
      </c>
      <c r="L478" s="97"/>
      <c r="M478" s="245" t="s">
        <v>796</v>
      </c>
      <c r="N478" s="349">
        <v>600.88</v>
      </c>
      <c r="O478" s="349"/>
      <c r="Q478" s="245">
        <v>10</v>
      </c>
      <c r="R478" s="30">
        <f t="shared" si="57"/>
        <v>4.9989999999999997</v>
      </c>
      <c r="S478" s="5">
        <v>454.90899999999999</v>
      </c>
      <c r="T478" s="313">
        <f t="shared" si="58"/>
        <v>459.90799999999996</v>
      </c>
      <c r="U478" s="15">
        <f t="shared" si="59"/>
        <v>4.9989999999999668</v>
      </c>
      <c r="V478" s="313">
        <f t="shared" si="60"/>
        <v>140.97200000000004</v>
      </c>
      <c r="W478" s="245">
        <v>11040</v>
      </c>
      <c r="X478" s="312"/>
      <c r="Y478" s="313"/>
      <c r="Z478" s="114">
        <f t="shared" si="61"/>
        <v>92</v>
      </c>
    </row>
    <row r="479" spans="1:26" s="245" customFormat="1" x14ac:dyDescent="0.25">
      <c r="A479" s="245" t="s">
        <v>1860</v>
      </c>
      <c r="B479" s="245" t="s">
        <v>1861</v>
      </c>
      <c r="D479" s="245" t="s">
        <v>1862</v>
      </c>
      <c r="E479" s="97"/>
      <c r="F479" s="97" t="s">
        <v>1764</v>
      </c>
      <c r="G479" s="132" t="str">
        <f t="shared" ref="G479:G542" si="62">CONCATENATE(H479,"/",I479,"/",J479,)</f>
        <v>23/5/2008</v>
      </c>
      <c r="H479" s="245">
        <v>23</v>
      </c>
      <c r="I479" s="245">
        <v>5</v>
      </c>
      <c r="J479" s="245">
        <v>2008</v>
      </c>
      <c r="K479" s="245" t="s">
        <v>1817</v>
      </c>
      <c r="L479" s="97"/>
      <c r="M479" s="245" t="s">
        <v>796</v>
      </c>
      <c r="N479" s="349">
        <v>6991.32</v>
      </c>
      <c r="O479" s="349"/>
      <c r="Q479" s="245">
        <v>10</v>
      </c>
      <c r="R479" s="30">
        <f t="shared" ref="R479:R542" si="63">(((N479)-1)/10)/12</f>
        <v>58.252666666666663</v>
      </c>
      <c r="S479" s="5">
        <v>5300.9926666666661</v>
      </c>
      <c r="T479" s="313">
        <f t="shared" ref="T479:T542" si="64">Z479*R479</f>
        <v>5359.2453333333333</v>
      </c>
      <c r="U479" s="15">
        <f t="shared" ref="U479:U542" si="65">T479-S479</f>
        <v>58.25266666666721</v>
      </c>
      <c r="V479" s="313">
        <f t="shared" ref="V479:V542" si="66">N479-T479</f>
        <v>1632.0746666666664</v>
      </c>
      <c r="W479" s="245">
        <v>11040</v>
      </c>
      <c r="X479" s="312"/>
      <c r="Y479" s="313"/>
      <c r="Z479" s="114">
        <f t="shared" ref="Z479:Z542" si="67">IF((DATEDIF(G479,Z$4,"m"))&gt;=120,120,(DATEDIF(G479,Z$4,"m")))</f>
        <v>92</v>
      </c>
    </row>
    <row r="480" spans="1:26" s="245" customFormat="1" x14ac:dyDescent="0.25">
      <c r="A480" s="245" t="s">
        <v>1863</v>
      </c>
      <c r="B480" s="245" t="s">
        <v>1861</v>
      </c>
      <c r="D480" s="245" t="s">
        <v>1862</v>
      </c>
      <c r="E480" s="97"/>
      <c r="F480" s="97" t="s">
        <v>1764</v>
      </c>
      <c r="G480" s="132" t="str">
        <f t="shared" si="62"/>
        <v>23/5/2008</v>
      </c>
      <c r="H480" s="245">
        <v>23</v>
      </c>
      <c r="I480" s="245">
        <v>5</v>
      </c>
      <c r="J480" s="245">
        <v>2008</v>
      </c>
      <c r="K480" s="245" t="s">
        <v>1817</v>
      </c>
      <c r="L480" s="97"/>
      <c r="M480" s="245" t="s">
        <v>796</v>
      </c>
      <c r="N480" s="349">
        <v>6991.32</v>
      </c>
      <c r="O480" s="349"/>
      <c r="Q480" s="245">
        <v>10</v>
      </c>
      <c r="R480" s="30">
        <f t="shared" si="63"/>
        <v>58.252666666666663</v>
      </c>
      <c r="S480" s="5">
        <v>5300.9926666666661</v>
      </c>
      <c r="T480" s="313">
        <f t="shared" si="64"/>
        <v>5359.2453333333333</v>
      </c>
      <c r="U480" s="15">
        <f t="shared" si="65"/>
        <v>58.25266666666721</v>
      </c>
      <c r="V480" s="313">
        <f t="shared" si="66"/>
        <v>1632.0746666666664</v>
      </c>
      <c r="W480" s="245">
        <v>11040</v>
      </c>
      <c r="X480" s="312"/>
      <c r="Y480" s="313"/>
      <c r="Z480" s="114">
        <f t="shared" si="67"/>
        <v>92</v>
      </c>
    </row>
    <row r="481" spans="1:26" s="245" customFormat="1" x14ac:dyDescent="0.25">
      <c r="A481" s="245" t="s">
        <v>1864</v>
      </c>
      <c r="B481" s="245" t="s">
        <v>1865</v>
      </c>
      <c r="D481" s="245" t="s">
        <v>1866</v>
      </c>
      <c r="E481" s="97"/>
      <c r="F481" s="97" t="s">
        <v>1764</v>
      </c>
      <c r="G481" s="132" t="str">
        <f t="shared" si="62"/>
        <v>23/5/2008</v>
      </c>
      <c r="H481" s="245">
        <v>23</v>
      </c>
      <c r="I481" s="245">
        <v>5</v>
      </c>
      <c r="J481" s="245">
        <v>2008</v>
      </c>
      <c r="K481" s="245" t="s">
        <v>1817</v>
      </c>
      <c r="L481" s="97"/>
      <c r="M481" s="245" t="s">
        <v>796</v>
      </c>
      <c r="N481" s="349">
        <v>6074.92</v>
      </c>
      <c r="O481" s="349"/>
      <c r="Q481" s="245">
        <v>10</v>
      </c>
      <c r="R481" s="30">
        <f t="shared" si="63"/>
        <v>50.616000000000007</v>
      </c>
      <c r="S481" s="5">
        <v>4606.0560000000005</v>
      </c>
      <c r="T481" s="313">
        <f t="shared" si="64"/>
        <v>4656.6720000000005</v>
      </c>
      <c r="U481" s="15">
        <f t="shared" si="65"/>
        <v>50.615999999999985</v>
      </c>
      <c r="V481" s="313">
        <f t="shared" si="66"/>
        <v>1418.2479999999996</v>
      </c>
      <c r="W481" s="245">
        <v>11040</v>
      </c>
      <c r="X481" s="312"/>
      <c r="Y481" s="313"/>
      <c r="Z481" s="114">
        <f t="shared" si="67"/>
        <v>92</v>
      </c>
    </row>
    <row r="482" spans="1:26" s="245" customFormat="1" x14ac:dyDescent="0.25">
      <c r="A482" s="245" t="s">
        <v>1867</v>
      </c>
      <c r="B482" s="245" t="s">
        <v>1865</v>
      </c>
      <c r="D482" s="245" t="s">
        <v>1866</v>
      </c>
      <c r="E482" s="97"/>
      <c r="F482" s="97" t="s">
        <v>1764</v>
      </c>
      <c r="G482" s="132" t="str">
        <f t="shared" si="62"/>
        <v>23/5/2008</v>
      </c>
      <c r="H482" s="245">
        <v>23</v>
      </c>
      <c r="I482" s="245">
        <v>5</v>
      </c>
      <c r="J482" s="245">
        <v>2008</v>
      </c>
      <c r="K482" s="245" t="s">
        <v>1817</v>
      </c>
      <c r="L482" s="97"/>
      <c r="M482" s="245" t="s">
        <v>796</v>
      </c>
      <c r="N482" s="349">
        <v>6074.92</v>
      </c>
      <c r="O482" s="349"/>
      <c r="Q482" s="245">
        <v>10</v>
      </c>
      <c r="R482" s="30">
        <f t="shared" si="63"/>
        <v>50.616000000000007</v>
      </c>
      <c r="S482" s="5">
        <v>4606.0560000000005</v>
      </c>
      <c r="T482" s="313">
        <f t="shared" si="64"/>
        <v>4656.6720000000005</v>
      </c>
      <c r="U482" s="15">
        <f t="shared" si="65"/>
        <v>50.615999999999985</v>
      </c>
      <c r="V482" s="313">
        <f t="shared" si="66"/>
        <v>1418.2479999999996</v>
      </c>
      <c r="W482" s="245">
        <v>11040</v>
      </c>
      <c r="X482" s="312"/>
      <c r="Y482" s="313"/>
      <c r="Z482" s="114">
        <f t="shared" si="67"/>
        <v>92</v>
      </c>
    </row>
    <row r="483" spans="1:26" s="245" customFormat="1" x14ac:dyDescent="0.25">
      <c r="A483" s="245" t="s">
        <v>1868</v>
      </c>
      <c r="B483" s="245" t="s">
        <v>1865</v>
      </c>
      <c r="D483" s="245" t="s">
        <v>1866</v>
      </c>
      <c r="E483" s="97"/>
      <c r="F483" s="97" t="s">
        <v>1764</v>
      </c>
      <c r="G483" s="132" t="str">
        <f t="shared" si="62"/>
        <v>23/5/2008</v>
      </c>
      <c r="H483" s="245">
        <v>23</v>
      </c>
      <c r="I483" s="245">
        <v>5</v>
      </c>
      <c r="J483" s="245">
        <v>2008</v>
      </c>
      <c r="K483" s="245" t="s">
        <v>1817</v>
      </c>
      <c r="L483" s="97"/>
      <c r="M483" s="245" t="s">
        <v>796</v>
      </c>
      <c r="N483" s="349">
        <v>6074.92</v>
      </c>
      <c r="O483" s="349"/>
      <c r="Q483" s="245">
        <v>10</v>
      </c>
      <c r="R483" s="30">
        <f t="shared" si="63"/>
        <v>50.616000000000007</v>
      </c>
      <c r="S483" s="5">
        <v>4606.0560000000005</v>
      </c>
      <c r="T483" s="313">
        <f t="shared" si="64"/>
        <v>4656.6720000000005</v>
      </c>
      <c r="U483" s="15">
        <f t="shared" si="65"/>
        <v>50.615999999999985</v>
      </c>
      <c r="V483" s="313">
        <f t="shared" si="66"/>
        <v>1418.2479999999996</v>
      </c>
      <c r="W483" s="245">
        <v>11040</v>
      </c>
      <c r="X483" s="312"/>
      <c r="Y483" s="313"/>
      <c r="Z483" s="114">
        <f t="shared" si="67"/>
        <v>92</v>
      </c>
    </row>
    <row r="484" spans="1:26" s="245" customFormat="1" x14ac:dyDescent="0.25">
      <c r="A484" s="245" t="s">
        <v>1869</v>
      </c>
      <c r="B484" s="245" t="s">
        <v>1865</v>
      </c>
      <c r="D484" s="245" t="s">
        <v>1866</v>
      </c>
      <c r="E484" s="97"/>
      <c r="F484" s="97" t="s">
        <v>1764</v>
      </c>
      <c r="G484" s="132" t="str">
        <f t="shared" si="62"/>
        <v>23/5/2008</v>
      </c>
      <c r="H484" s="245">
        <v>23</v>
      </c>
      <c r="I484" s="245">
        <v>5</v>
      </c>
      <c r="J484" s="245">
        <v>2008</v>
      </c>
      <c r="K484" s="245" t="s">
        <v>1817</v>
      </c>
      <c r="L484" s="97"/>
      <c r="M484" s="245" t="s">
        <v>796</v>
      </c>
      <c r="N484" s="349">
        <v>6074.92</v>
      </c>
      <c r="O484" s="349"/>
      <c r="Q484" s="245">
        <v>10</v>
      </c>
      <c r="R484" s="30">
        <f t="shared" si="63"/>
        <v>50.616000000000007</v>
      </c>
      <c r="S484" s="5">
        <v>4606.0560000000005</v>
      </c>
      <c r="T484" s="313">
        <f t="shared" si="64"/>
        <v>4656.6720000000005</v>
      </c>
      <c r="U484" s="15">
        <f t="shared" si="65"/>
        <v>50.615999999999985</v>
      </c>
      <c r="V484" s="313">
        <f t="shared" si="66"/>
        <v>1418.2479999999996</v>
      </c>
      <c r="W484" s="245">
        <v>11040</v>
      </c>
      <c r="X484" s="312"/>
      <c r="Y484" s="313"/>
      <c r="Z484" s="114">
        <f t="shared" si="67"/>
        <v>92</v>
      </c>
    </row>
    <row r="485" spans="1:26" s="245" customFormat="1" x14ac:dyDescent="0.25">
      <c r="A485" s="245" t="s">
        <v>1870</v>
      </c>
      <c r="B485" s="245" t="s">
        <v>1865</v>
      </c>
      <c r="D485" s="245" t="s">
        <v>1866</v>
      </c>
      <c r="E485" s="97"/>
      <c r="F485" s="97" t="s">
        <v>1764</v>
      </c>
      <c r="G485" s="132" t="str">
        <f t="shared" si="62"/>
        <v>23/5/2008</v>
      </c>
      <c r="H485" s="245">
        <v>23</v>
      </c>
      <c r="I485" s="245">
        <v>5</v>
      </c>
      <c r="J485" s="245">
        <v>2008</v>
      </c>
      <c r="K485" s="245" t="s">
        <v>1817</v>
      </c>
      <c r="L485" s="97"/>
      <c r="M485" s="245" t="s">
        <v>796</v>
      </c>
      <c r="N485" s="349">
        <v>6074.92</v>
      </c>
      <c r="O485" s="349"/>
      <c r="Q485" s="245">
        <v>10</v>
      </c>
      <c r="R485" s="30">
        <f t="shared" si="63"/>
        <v>50.616000000000007</v>
      </c>
      <c r="S485" s="5">
        <v>4606.0560000000005</v>
      </c>
      <c r="T485" s="313">
        <f t="shared" si="64"/>
        <v>4656.6720000000005</v>
      </c>
      <c r="U485" s="15">
        <f t="shared" si="65"/>
        <v>50.615999999999985</v>
      </c>
      <c r="V485" s="313">
        <f t="shared" si="66"/>
        <v>1418.2479999999996</v>
      </c>
      <c r="W485" s="245">
        <v>11040</v>
      </c>
      <c r="X485" s="312"/>
      <c r="Y485" s="313"/>
      <c r="Z485" s="114">
        <f t="shared" si="67"/>
        <v>92</v>
      </c>
    </row>
    <row r="486" spans="1:26" s="245" customFormat="1" x14ac:dyDescent="0.25">
      <c r="A486" s="245" t="s">
        <v>1871</v>
      </c>
      <c r="B486" s="245" t="s">
        <v>1872</v>
      </c>
      <c r="E486" s="97"/>
      <c r="F486" s="97" t="s">
        <v>1764</v>
      </c>
      <c r="G486" s="132" t="str">
        <f t="shared" si="62"/>
        <v>23/5/2008</v>
      </c>
      <c r="H486" s="245">
        <v>23</v>
      </c>
      <c r="I486" s="245">
        <v>5</v>
      </c>
      <c r="J486" s="245">
        <v>2008</v>
      </c>
      <c r="K486" s="245" t="s">
        <v>1817</v>
      </c>
      <c r="L486" s="97"/>
      <c r="M486" s="245" t="s">
        <v>796</v>
      </c>
      <c r="N486" s="349">
        <v>23.2</v>
      </c>
      <c r="O486" s="349"/>
      <c r="Q486" s="245">
        <v>10</v>
      </c>
      <c r="R486" s="30">
        <f t="shared" si="63"/>
        <v>0.18499999999999997</v>
      </c>
      <c r="S486" s="5">
        <v>16.834999999999997</v>
      </c>
      <c r="T486" s="313">
        <f t="shared" si="64"/>
        <v>17.019999999999996</v>
      </c>
      <c r="U486" s="15">
        <f t="shared" si="65"/>
        <v>0.18499999999999872</v>
      </c>
      <c r="V486" s="313">
        <f t="shared" si="66"/>
        <v>6.1800000000000033</v>
      </c>
      <c r="W486" s="245">
        <v>11040</v>
      </c>
      <c r="X486" s="312"/>
      <c r="Y486" s="313"/>
      <c r="Z486" s="114">
        <f t="shared" si="67"/>
        <v>92</v>
      </c>
    </row>
    <row r="487" spans="1:26" s="245" customFormat="1" x14ac:dyDescent="0.25">
      <c r="A487" s="245" t="s">
        <v>1873</v>
      </c>
      <c r="B487" s="245" t="s">
        <v>1872</v>
      </c>
      <c r="E487" s="97"/>
      <c r="F487" s="97" t="s">
        <v>1764</v>
      </c>
      <c r="G487" s="132" t="str">
        <f t="shared" si="62"/>
        <v>23/5/2008</v>
      </c>
      <c r="H487" s="245">
        <v>23</v>
      </c>
      <c r="I487" s="245">
        <v>5</v>
      </c>
      <c r="J487" s="245">
        <v>2008</v>
      </c>
      <c r="K487" s="245" t="s">
        <v>1817</v>
      </c>
      <c r="L487" s="97"/>
      <c r="M487" s="245" t="s">
        <v>796</v>
      </c>
      <c r="N487" s="349">
        <v>23.2</v>
      </c>
      <c r="O487" s="349"/>
      <c r="Q487" s="245">
        <v>10</v>
      </c>
      <c r="R487" s="30">
        <f t="shared" si="63"/>
        <v>0.18499999999999997</v>
      </c>
      <c r="S487" s="5">
        <v>16.834999999999997</v>
      </c>
      <c r="T487" s="313">
        <f t="shared" si="64"/>
        <v>17.019999999999996</v>
      </c>
      <c r="U487" s="15">
        <f t="shared" si="65"/>
        <v>0.18499999999999872</v>
      </c>
      <c r="V487" s="313">
        <f t="shared" si="66"/>
        <v>6.1800000000000033</v>
      </c>
      <c r="W487" s="245">
        <v>11040</v>
      </c>
      <c r="X487" s="312"/>
      <c r="Y487" s="313"/>
      <c r="Z487" s="114">
        <f t="shared" si="67"/>
        <v>92</v>
      </c>
    </row>
    <row r="488" spans="1:26" s="245" customFormat="1" x14ac:dyDescent="0.25">
      <c r="A488" s="245" t="s">
        <v>1874</v>
      </c>
      <c r="B488" s="245" t="s">
        <v>1872</v>
      </c>
      <c r="E488" s="97"/>
      <c r="F488" s="97" t="s">
        <v>1764</v>
      </c>
      <c r="G488" s="132" t="str">
        <f t="shared" si="62"/>
        <v>23/5/2008</v>
      </c>
      <c r="H488" s="245">
        <v>23</v>
      </c>
      <c r="I488" s="245">
        <v>5</v>
      </c>
      <c r="J488" s="245">
        <v>2008</v>
      </c>
      <c r="K488" s="245" t="s">
        <v>1817</v>
      </c>
      <c r="L488" s="97"/>
      <c r="M488" s="245" t="s">
        <v>796</v>
      </c>
      <c r="N488" s="349">
        <v>23.2</v>
      </c>
      <c r="O488" s="349"/>
      <c r="Q488" s="245">
        <v>10</v>
      </c>
      <c r="R488" s="30">
        <f t="shared" si="63"/>
        <v>0.18499999999999997</v>
      </c>
      <c r="S488" s="5">
        <v>16.834999999999997</v>
      </c>
      <c r="T488" s="313">
        <f t="shared" si="64"/>
        <v>17.019999999999996</v>
      </c>
      <c r="U488" s="15">
        <f t="shared" si="65"/>
        <v>0.18499999999999872</v>
      </c>
      <c r="V488" s="313">
        <f t="shared" si="66"/>
        <v>6.1800000000000033</v>
      </c>
      <c r="W488" s="245">
        <v>11040</v>
      </c>
      <c r="X488" s="312"/>
      <c r="Y488" s="313"/>
      <c r="Z488" s="114">
        <f t="shared" si="67"/>
        <v>92</v>
      </c>
    </row>
    <row r="489" spans="1:26" s="245" customFormat="1" x14ac:dyDescent="0.25">
      <c r="A489" s="245" t="s">
        <v>1875</v>
      </c>
      <c r="B489" s="245" t="s">
        <v>1872</v>
      </c>
      <c r="E489" s="97"/>
      <c r="F489" s="97" t="s">
        <v>1764</v>
      </c>
      <c r="G489" s="132" t="str">
        <f t="shared" si="62"/>
        <v>23/5/2008</v>
      </c>
      <c r="H489" s="245">
        <v>23</v>
      </c>
      <c r="I489" s="245">
        <v>5</v>
      </c>
      <c r="J489" s="245">
        <v>2008</v>
      </c>
      <c r="K489" s="245" t="s">
        <v>1817</v>
      </c>
      <c r="L489" s="97"/>
      <c r="M489" s="245" t="s">
        <v>796</v>
      </c>
      <c r="N489" s="349">
        <v>23.2</v>
      </c>
      <c r="O489" s="349"/>
      <c r="Q489" s="245">
        <v>10</v>
      </c>
      <c r="R489" s="30">
        <f t="shared" si="63"/>
        <v>0.18499999999999997</v>
      </c>
      <c r="S489" s="5">
        <v>16.834999999999997</v>
      </c>
      <c r="T489" s="313">
        <f t="shared" si="64"/>
        <v>17.019999999999996</v>
      </c>
      <c r="U489" s="15">
        <f t="shared" si="65"/>
        <v>0.18499999999999872</v>
      </c>
      <c r="V489" s="313">
        <f t="shared" si="66"/>
        <v>6.1800000000000033</v>
      </c>
      <c r="W489" s="245">
        <v>11040</v>
      </c>
      <c r="X489" s="312"/>
      <c r="Y489" s="313"/>
      <c r="Z489" s="114">
        <f t="shared" si="67"/>
        <v>92</v>
      </c>
    </row>
    <row r="490" spans="1:26" s="245" customFormat="1" x14ac:dyDescent="0.25">
      <c r="A490" s="245" t="s">
        <v>1876</v>
      </c>
      <c r="B490" s="245" t="s">
        <v>1872</v>
      </c>
      <c r="E490" s="97"/>
      <c r="F490" s="97" t="s">
        <v>1764</v>
      </c>
      <c r="G490" s="132" t="str">
        <f t="shared" si="62"/>
        <v>23/5/2008</v>
      </c>
      <c r="H490" s="245">
        <v>23</v>
      </c>
      <c r="I490" s="245">
        <v>5</v>
      </c>
      <c r="J490" s="245">
        <v>2008</v>
      </c>
      <c r="K490" s="245" t="s">
        <v>1817</v>
      </c>
      <c r="L490" s="97"/>
      <c r="M490" s="245" t="s">
        <v>796</v>
      </c>
      <c r="N490" s="349">
        <v>23.2</v>
      </c>
      <c r="O490" s="349"/>
      <c r="Q490" s="245">
        <v>10</v>
      </c>
      <c r="R490" s="30">
        <f t="shared" si="63"/>
        <v>0.18499999999999997</v>
      </c>
      <c r="S490" s="5">
        <v>16.834999999999997</v>
      </c>
      <c r="T490" s="313">
        <f t="shared" si="64"/>
        <v>17.019999999999996</v>
      </c>
      <c r="U490" s="15">
        <f t="shared" si="65"/>
        <v>0.18499999999999872</v>
      </c>
      <c r="V490" s="313">
        <f t="shared" si="66"/>
        <v>6.1800000000000033</v>
      </c>
      <c r="W490" s="245">
        <v>11040</v>
      </c>
      <c r="X490" s="312"/>
      <c r="Y490" s="313"/>
      <c r="Z490" s="114">
        <f t="shared" si="67"/>
        <v>92</v>
      </c>
    </row>
    <row r="491" spans="1:26" s="245" customFormat="1" x14ac:dyDescent="0.25">
      <c r="A491" s="245" t="s">
        <v>1877</v>
      </c>
      <c r="B491" s="245" t="s">
        <v>1872</v>
      </c>
      <c r="E491" s="97"/>
      <c r="F491" s="97" t="s">
        <v>1764</v>
      </c>
      <c r="G491" s="132" t="str">
        <f t="shared" si="62"/>
        <v>23/5/2008</v>
      </c>
      <c r="H491" s="245">
        <v>23</v>
      </c>
      <c r="I491" s="245">
        <v>5</v>
      </c>
      <c r="J491" s="245">
        <v>2008</v>
      </c>
      <c r="K491" s="245" t="s">
        <v>1817</v>
      </c>
      <c r="L491" s="97"/>
      <c r="M491" s="245" t="s">
        <v>796</v>
      </c>
      <c r="N491" s="349">
        <v>23.2</v>
      </c>
      <c r="O491" s="349"/>
      <c r="Q491" s="245">
        <v>10</v>
      </c>
      <c r="R491" s="30">
        <f t="shared" si="63"/>
        <v>0.18499999999999997</v>
      </c>
      <c r="S491" s="5">
        <v>16.834999999999997</v>
      </c>
      <c r="T491" s="313">
        <f t="shared" si="64"/>
        <v>17.019999999999996</v>
      </c>
      <c r="U491" s="15">
        <f t="shared" si="65"/>
        <v>0.18499999999999872</v>
      </c>
      <c r="V491" s="313">
        <f t="shared" si="66"/>
        <v>6.1800000000000033</v>
      </c>
      <c r="W491" s="245">
        <v>11040</v>
      </c>
      <c r="X491" s="312"/>
      <c r="Y491" s="313"/>
      <c r="Z491" s="114">
        <f t="shared" si="67"/>
        <v>92</v>
      </c>
    </row>
    <row r="492" spans="1:26" s="245" customFormat="1" x14ac:dyDescent="0.25">
      <c r="A492" s="245" t="s">
        <v>1878</v>
      </c>
      <c r="B492" s="245" t="s">
        <v>1872</v>
      </c>
      <c r="E492" s="97"/>
      <c r="F492" s="97" t="s">
        <v>1764</v>
      </c>
      <c r="G492" s="132" t="str">
        <f t="shared" si="62"/>
        <v>23/5/2008</v>
      </c>
      <c r="H492" s="245">
        <v>23</v>
      </c>
      <c r="I492" s="245">
        <v>5</v>
      </c>
      <c r="J492" s="245">
        <v>2008</v>
      </c>
      <c r="K492" s="245" t="s">
        <v>1817</v>
      </c>
      <c r="L492" s="97"/>
      <c r="M492" s="245" t="s">
        <v>796</v>
      </c>
      <c r="N492" s="349">
        <v>23.2</v>
      </c>
      <c r="O492" s="349"/>
      <c r="Q492" s="245">
        <v>10</v>
      </c>
      <c r="R492" s="30">
        <f t="shared" si="63"/>
        <v>0.18499999999999997</v>
      </c>
      <c r="S492" s="5">
        <v>16.834999999999997</v>
      </c>
      <c r="T492" s="313">
        <f t="shared" si="64"/>
        <v>17.019999999999996</v>
      </c>
      <c r="U492" s="15">
        <f t="shared" si="65"/>
        <v>0.18499999999999872</v>
      </c>
      <c r="V492" s="313">
        <f t="shared" si="66"/>
        <v>6.1800000000000033</v>
      </c>
      <c r="W492" s="245">
        <v>11040</v>
      </c>
      <c r="X492" s="312"/>
      <c r="Y492" s="313"/>
      <c r="Z492" s="114">
        <f t="shared" si="67"/>
        <v>92</v>
      </c>
    </row>
    <row r="493" spans="1:26" s="245" customFormat="1" x14ac:dyDescent="0.25">
      <c r="A493" s="245" t="s">
        <v>1879</v>
      </c>
      <c r="B493" s="245" t="s">
        <v>1872</v>
      </c>
      <c r="E493" s="97"/>
      <c r="F493" s="97" t="s">
        <v>1764</v>
      </c>
      <c r="G493" s="132" t="str">
        <f t="shared" si="62"/>
        <v>23/5/2008</v>
      </c>
      <c r="H493" s="245">
        <v>23</v>
      </c>
      <c r="I493" s="245">
        <v>5</v>
      </c>
      <c r="J493" s="245">
        <v>2008</v>
      </c>
      <c r="K493" s="245" t="s">
        <v>1817</v>
      </c>
      <c r="L493" s="97"/>
      <c r="M493" s="245" t="s">
        <v>796</v>
      </c>
      <c r="N493" s="349">
        <v>23.2</v>
      </c>
      <c r="O493" s="349"/>
      <c r="Q493" s="245">
        <v>10</v>
      </c>
      <c r="R493" s="30">
        <f t="shared" si="63"/>
        <v>0.18499999999999997</v>
      </c>
      <c r="S493" s="5">
        <v>16.834999999999997</v>
      </c>
      <c r="T493" s="313">
        <f t="shared" si="64"/>
        <v>17.019999999999996</v>
      </c>
      <c r="U493" s="15">
        <f t="shared" si="65"/>
        <v>0.18499999999999872</v>
      </c>
      <c r="V493" s="313">
        <f t="shared" si="66"/>
        <v>6.1800000000000033</v>
      </c>
      <c r="W493" s="245">
        <v>11040</v>
      </c>
      <c r="X493" s="312"/>
      <c r="Y493" s="313"/>
      <c r="Z493" s="114">
        <f t="shared" si="67"/>
        <v>92</v>
      </c>
    </row>
    <row r="494" spans="1:26" s="245" customFormat="1" x14ac:dyDescent="0.25">
      <c r="A494" s="245" t="s">
        <v>1880</v>
      </c>
      <c r="B494" s="245" t="s">
        <v>1872</v>
      </c>
      <c r="E494" s="97"/>
      <c r="F494" s="97" t="s">
        <v>1764</v>
      </c>
      <c r="G494" s="132" t="str">
        <f t="shared" si="62"/>
        <v>23/5/2008</v>
      </c>
      <c r="H494" s="245">
        <v>23</v>
      </c>
      <c r="I494" s="245">
        <v>5</v>
      </c>
      <c r="J494" s="245">
        <v>2008</v>
      </c>
      <c r="K494" s="245" t="s">
        <v>1817</v>
      </c>
      <c r="L494" s="97"/>
      <c r="M494" s="245" t="s">
        <v>796</v>
      </c>
      <c r="N494" s="349">
        <v>23.2</v>
      </c>
      <c r="O494" s="349"/>
      <c r="Q494" s="245">
        <v>10</v>
      </c>
      <c r="R494" s="30">
        <f t="shared" si="63"/>
        <v>0.18499999999999997</v>
      </c>
      <c r="S494" s="5">
        <v>16.834999999999997</v>
      </c>
      <c r="T494" s="313">
        <f t="shared" si="64"/>
        <v>17.019999999999996</v>
      </c>
      <c r="U494" s="15">
        <f t="shared" si="65"/>
        <v>0.18499999999999872</v>
      </c>
      <c r="V494" s="313">
        <f t="shared" si="66"/>
        <v>6.1800000000000033</v>
      </c>
      <c r="W494" s="245">
        <v>11040</v>
      </c>
      <c r="X494" s="312"/>
      <c r="Y494" s="313"/>
      <c r="Z494" s="114">
        <f t="shared" si="67"/>
        <v>92</v>
      </c>
    </row>
    <row r="495" spans="1:26" s="245" customFormat="1" x14ac:dyDescent="0.25">
      <c r="A495" s="245" t="s">
        <v>1881</v>
      </c>
      <c r="B495" s="245" t="s">
        <v>1872</v>
      </c>
      <c r="E495" s="97"/>
      <c r="F495" s="97" t="s">
        <v>1764</v>
      </c>
      <c r="G495" s="132" t="str">
        <f t="shared" si="62"/>
        <v>23/5/2008</v>
      </c>
      <c r="H495" s="245">
        <v>23</v>
      </c>
      <c r="I495" s="245">
        <v>5</v>
      </c>
      <c r="J495" s="245">
        <v>2008</v>
      </c>
      <c r="K495" s="245" t="s">
        <v>1817</v>
      </c>
      <c r="L495" s="97"/>
      <c r="M495" s="245" t="s">
        <v>796</v>
      </c>
      <c r="N495" s="349">
        <v>23.2</v>
      </c>
      <c r="O495" s="349"/>
      <c r="Q495" s="245">
        <v>10</v>
      </c>
      <c r="R495" s="30">
        <f t="shared" si="63"/>
        <v>0.18499999999999997</v>
      </c>
      <c r="S495" s="5">
        <v>16.834999999999997</v>
      </c>
      <c r="T495" s="313">
        <f t="shared" si="64"/>
        <v>17.019999999999996</v>
      </c>
      <c r="U495" s="15">
        <f t="shared" si="65"/>
        <v>0.18499999999999872</v>
      </c>
      <c r="V495" s="313">
        <f t="shared" si="66"/>
        <v>6.1800000000000033</v>
      </c>
      <c r="W495" s="245">
        <v>11040</v>
      </c>
      <c r="X495" s="312"/>
      <c r="Y495" s="313"/>
      <c r="Z495" s="114">
        <f t="shared" si="67"/>
        <v>92</v>
      </c>
    </row>
    <row r="496" spans="1:26" s="245" customFormat="1" x14ac:dyDescent="0.25">
      <c r="A496" s="245" t="s">
        <v>1882</v>
      </c>
      <c r="B496" s="245" t="s">
        <v>1872</v>
      </c>
      <c r="E496" s="97"/>
      <c r="F496" s="97" t="s">
        <v>1764</v>
      </c>
      <c r="G496" s="132" t="str">
        <f t="shared" si="62"/>
        <v>23/5/2008</v>
      </c>
      <c r="H496" s="245">
        <v>23</v>
      </c>
      <c r="I496" s="245">
        <v>5</v>
      </c>
      <c r="J496" s="245">
        <v>2008</v>
      </c>
      <c r="K496" s="245" t="s">
        <v>1817</v>
      </c>
      <c r="L496" s="97"/>
      <c r="M496" s="245" t="s">
        <v>796</v>
      </c>
      <c r="N496" s="349">
        <v>23.2</v>
      </c>
      <c r="O496" s="349"/>
      <c r="Q496" s="245">
        <v>10</v>
      </c>
      <c r="R496" s="30">
        <f t="shared" si="63"/>
        <v>0.18499999999999997</v>
      </c>
      <c r="S496" s="5">
        <v>16.834999999999997</v>
      </c>
      <c r="T496" s="313">
        <f t="shared" si="64"/>
        <v>17.019999999999996</v>
      </c>
      <c r="U496" s="15">
        <f t="shared" si="65"/>
        <v>0.18499999999999872</v>
      </c>
      <c r="V496" s="313">
        <f t="shared" si="66"/>
        <v>6.1800000000000033</v>
      </c>
      <c r="W496" s="245">
        <v>11040</v>
      </c>
      <c r="X496" s="312"/>
      <c r="Y496" s="313"/>
      <c r="Z496" s="114">
        <f t="shared" si="67"/>
        <v>92</v>
      </c>
    </row>
    <row r="497" spans="1:26" s="245" customFormat="1" x14ac:dyDescent="0.25">
      <c r="A497" s="245" t="s">
        <v>1883</v>
      </c>
      <c r="B497" s="245" t="s">
        <v>1872</v>
      </c>
      <c r="E497" s="97"/>
      <c r="F497" s="97" t="s">
        <v>1764</v>
      </c>
      <c r="G497" s="132" t="str">
        <f t="shared" si="62"/>
        <v>23/5/2008</v>
      </c>
      <c r="H497" s="245">
        <v>23</v>
      </c>
      <c r="I497" s="245">
        <v>5</v>
      </c>
      <c r="J497" s="245">
        <v>2008</v>
      </c>
      <c r="K497" s="245" t="s">
        <v>1817</v>
      </c>
      <c r="L497" s="97"/>
      <c r="M497" s="245" t="s">
        <v>796</v>
      </c>
      <c r="N497" s="349">
        <v>23.2</v>
      </c>
      <c r="O497" s="349"/>
      <c r="Q497" s="245">
        <v>10</v>
      </c>
      <c r="R497" s="30">
        <f t="shared" si="63"/>
        <v>0.18499999999999997</v>
      </c>
      <c r="S497" s="5">
        <v>16.834999999999997</v>
      </c>
      <c r="T497" s="313">
        <f t="shared" si="64"/>
        <v>17.019999999999996</v>
      </c>
      <c r="U497" s="15">
        <f t="shared" si="65"/>
        <v>0.18499999999999872</v>
      </c>
      <c r="V497" s="313">
        <f t="shared" si="66"/>
        <v>6.1800000000000033</v>
      </c>
      <c r="W497" s="245">
        <v>11040</v>
      </c>
      <c r="X497" s="312"/>
      <c r="Y497" s="313"/>
      <c r="Z497" s="114">
        <f t="shared" si="67"/>
        <v>92</v>
      </c>
    </row>
    <row r="498" spans="1:26" s="245" customFormat="1" x14ac:dyDescent="0.25">
      <c r="A498" s="245" t="s">
        <v>1884</v>
      </c>
      <c r="B498" s="245" t="s">
        <v>1872</v>
      </c>
      <c r="E498" s="97"/>
      <c r="F498" s="97" t="s">
        <v>1764</v>
      </c>
      <c r="G498" s="132" t="str">
        <f t="shared" si="62"/>
        <v>23/5/2008</v>
      </c>
      <c r="H498" s="245">
        <v>23</v>
      </c>
      <c r="I498" s="245">
        <v>5</v>
      </c>
      <c r="J498" s="245">
        <v>2008</v>
      </c>
      <c r="K498" s="245" t="s">
        <v>1817</v>
      </c>
      <c r="L498" s="97"/>
      <c r="M498" s="245" t="s">
        <v>796</v>
      </c>
      <c r="N498" s="349">
        <v>23.2</v>
      </c>
      <c r="O498" s="349"/>
      <c r="Q498" s="245">
        <v>10</v>
      </c>
      <c r="R498" s="30">
        <f t="shared" si="63"/>
        <v>0.18499999999999997</v>
      </c>
      <c r="S498" s="5">
        <v>16.834999999999997</v>
      </c>
      <c r="T498" s="313">
        <f t="shared" si="64"/>
        <v>17.019999999999996</v>
      </c>
      <c r="U498" s="15">
        <f t="shared" si="65"/>
        <v>0.18499999999999872</v>
      </c>
      <c r="V498" s="313">
        <f t="shared" si="66"/>
        <v>6.1800000000000033</v>
      </c>
      <c r="W498" s="245">
        <v>11040</v>
      </c>
      <c r="X498" s="312"/>
      <c r="Y498" s="313"/>
      <c r="Z498" s="114">
        <f t="shared" si="67"/>
        <v>92</v>
      </c>
    </row>
    <row r="499" spans="1:26" s="245" customFormat="1" x14ac:dyDescent="0.25">
      <c r="A499" s="245" t="s">
        <v>1885</v>
      </c>
      <c r="B499" s="245" t="s">
        <v>1872</v>
      </c>
      <c r="E499" s="97"/>
      <c r="F499" s="97" t="s">
        <v>1764</v>
      </c>
      <c r="G499" s="132" t="str">
        <f t="shared" si="62"/>
        <v>23/5/2008</v>
      </c>
      <c r="H499" s="245">
        <v>23</v>
      </c>
      <c r="I499" s="245">
        <v>5</v>
      </c>
      <c r="J499" s="245">
        <v>2008</v>
      </c>
      <c r="K499" s="245" t="s">
        <v>1817</v>
      </c>
      <c r="L499" s="97"/>
      <c r="M499" s="245" t="s">
        <v>796</v>
      </c>
      <c r="N499" s="349">
        <v>23.2</v>
      </c>
      <c r="O499" s="349"/>
      <c r="Q499" s="245">
        <v>10</v>
      </c>
      <c r="R499" s="30">
        <f t="shared" si="63"/>
        <v>0.18499999999999997</v>
      </c>
      <c r="S499" s="5">
        <v>16.834999999999997</v>
      </c>
      <c r="T499" s="313">
        <f t="shared" si="64"/>
        <v>17.019999999999996</v>
      </c>
      <c r="U499" s="15">
        <f t="shared" si="65"/>
        <v>0.18499999999999872</v>
      </c>
      <c r="V499" s="313">
        <f t="shared" si="66"/>
        <v>6.1800000000000033</v>
      </c>
      <c r="W499" s="245">
        <v>11040</v>
      </c>
      <c r="X499" s="312"/>
      <c r="Y499" s="313"/>
      <c r="Z499" s="114">
        <f t="shared" si="67"/>
        <v>92</v>
      </c>
    </row>
    <row r="500" spans="1:26" s="245" customFormat="1" x14ac:dyDescent="0.25">
      <c r="A500" s="245" t="s">
        <v>1886</v>
      </c>
      <c r="B500" s="245" t="s">
        <v>1872</v>
      </c>
      <c r="E500" s="97"/>
      <c r="F500" s="97" t="s">
        <v>1764</v>
      </c>
      <c r="G500" s="132" t="str">
        <f t="shared" si="62"/>
        <v>23/5/2008</v>
      </c>
      <c r="H500" s="245">
        <v>23</v>
      </c>
      <c r="I500" s="245">
        <v>5</v>
      </c>
      <c r="J500" s="245">
        <v>2008</v>
      </c>
      <c r="K500" s="245" t="s">
        <v>1817</v>
      </c>
      <c r="L500" s="97"/>
      <c r="M500" s="245" t="s">
        <v>796</v>
      </c>
      <c r="N500" s="349">
        <v>23.2</v>
      </c>
      <c r="O500" s="349"/>
      <c r="Q500" s="245">
        <v>10</v>
      </c>
      <c r="R500" s="30">
        <f t="shared" si="63"/>
        <v>0.18499999999999997</v>
      </c>
      <c r="S500" s="5">
        <v>16.834999999999997</v>
      </c>
      <c r="T500" s="313">
        <f t="shared" si="64"/>
        <v>17.019999999999996</v>
      </c>
      <c r="U500" s="15">
        <f t="shared" si="65"/>
        <v>0.18499999999999872</v>
      </c>
      <c r="V500" s="313">
        <f t="shared" si="66"/>
        <v>6.1800000000000033</v>
      </c>
      <c r="W500" s="245">
        <v>11040</v>
      </c>
      <c r="X500" s="312"/>
      <c r="Y500" s="313"/>
      <c r="Z500" s="114">
        <f t="shared" si="67"/>
        <v>92</v>
      </c>
    </row>
    <row r="501" spans="1:26" s="245" customFormat="1" x14ac:dyDescent="0.25">
      <c r="A501" s="245" t="s">
        <v>1887</v>
      </c>
      <c r="B501" s="245" t="s">
        <v>1872</v>
      </c>
      <c r="E501" s="97"/>
      <c r="F501" s="97" t="s">
        <v>1764</v>
      </c>
      <c r="G501" s="132" t="str">
        <f t="shared" si="62"/>
        <v>23/5/2008</v>
      </c>
      <c r="H501" s="245">
        <v>23</v>
      </c>
      <c r="I501" s="245">
        <v>5</v>
      </c>
      <c r="J501" s="245">
        <v>2008</v>
      </c>
      <c r="K501" s="245" t="s">
        <v>1817</v>
      </c>
      <c r="L501" s="97"/>
      <c r="M501" s="245" t="s">
        <v>796</v>
      </c>
      <c r="N501" s="349">
        <v>23.2</v>
      </c>
      <c r="O501" s="349"/>
      <c r="Q501" s="245">
        <v>10</v>
      </c>
      <c r="R501" s="30">
        <f t="shared" si="63"/>
        <v>0.18499999999999997</v>
      </c>
      <c r="S501" s="5">
        <v>16.834999999999997</v>
      </c>
      <c r="T501" s="313">
        <f t="shared" si="64"/>
        <v>17.019999999999996</v>
      </c>
      <c r="U501" s="15">
        <f t="shared" si="65"/>
        <v>0.18499999999999872</v>
      </c>
      <c r="V501" s="313">
        <f t="shared" si="66"/>
        <v>6.1800000000000033</v>
      </c>
      <c r="W501" s="245">
        <v>11040</v>
      </c>
      <c r="X501" s="312"/>
      <c r="Y501" s="313"/>
      <c r="Z501" s="114">
        <f t="shared" si="67"/>
        <v>92</v>
      </c>
    </row>
    <row r="502" spans="1:26" s="245" customFormat="1" x14ac:dyDescent="0.25">
      <c r="A502" s="245" t="s">
        <v>1888</v>
      </c>
      <c r="B502" s="245" t="s">
        <v>1872</v>
      </c>
      <c r="E502" s="97"/>
      <c r="F502" s="97" t="s">
        <v>1764</v>
      </c>
      <c r="G502" s="132" t="str">
        <f t="shared" si="62"/>
        <v>23/5/2008</v>
      </c>
      <c r="H502" s="245">
        <v>23</v>
      </c>
      <c r="I502" s="245">
        <v>5</v>
      </c>
      <c r="J502" s="245">
        <v>2008</v>
      </c>
      <c r="K502" s="245" t="s">
        <v>1817</v>
      </c>
      <c r="L502" s="97"/>
      <c r="M502" s="245" t="s">
        <v>796</v>
      </c>
      <c r="N502" s="349">
        <v>23.2</v>
      </c>
      <c r="O502" s="349"/>
      <c r="Q502" s="245">
        <v>10</v>
      </c>
      <c r="R502" s="30">
        <f t="shared" si="63"/>
        <v>0.18499999999999997</v>
      </c>
      <c r="S502" s="5">
        <v>16.834999999999997</v>
      </c>
      <c r="T502" s="313">
        <f t="shared" si="64"/>
        <v>17.019999999999996</v>
      </c>
      <c r="U502" s="15">
        <f t="shared" si="65"/>
        <v>0.18499999999999872</v>
      </c>
      <c r="V502" s="313">
        <f t="shared" si="66"/>
        <v>6.1800000000000033</v>
      </c>
      <c r="W502" s="245">
        <v>11040</v>
      </c>
      <c r="X502" s="312"/>
      <c r="Y502" s="313"/>
      <c r="Z502" s="114">
        <f t="shared" si="67"/>
        <v>92</v>
      </c>
    </row>
    <row r="503" spans="1:26" s="245" customFormat="1" x14ac:dyDescent="0.25">
      <c r="A503" s="245" t="s">
        <v>1889</v>
      </c>
      <c r="B503" s="245" t="s">
        <v>1872</v>
      </c>
      <c r="E503" s="97"/>
      <c r="F503" s="97" t="s">
        <v>1764</v>
      </c>
      <c r="G503" s="132" t="str">
        <f t="shared" si="62"/>
        <v>23/5/2008</v>
      </c>
      <c r="H503" s="245">
        <v>23</v>
      </c>
      <c r="I503" s="245">
        <v>5</v>
      </c>
      <c r="J503" s="245">
        <v>2008</v>
      </c>
      <c r="K503" s="245" t="s">
        <v>1817</v>
      </c>
      <c r="L503" s="97"/>
      <c r="M503" s="245" t="s">
        <v>796</v>
      </c>
      <c r="N503" s="349">
        <v>23.2</v>
      </c>
      <c r="O503" s="349"/>
      <c r="Q503" s="245">
        <v>10</v>
      </c>
      <c r="R503" s="30">
        <f t="shared" si="63"/>
        <v>0.18499999999999997</v>
      </c>
      <c r="S503" s="5">
        <v>16.834999999999997</v>
      </c>
      <c r="T503" s="313">
        <f t="shared" si="64"/>
        <v>17.019999999999996</v>
      </c>
      <c r="U503" s="15">
        <f t="shared" si="65"/>
        <v>0.18499999999999872</v>
      </c>
      <c r="V503" s="313">
        <f t="shared" si="66"/>
        <v>6.1800000000000033</v>
      </c>
      <c r="W503" s="245">
        <v>11040</v>
      </c>
      <c r="X503" s="312"/>
      <c r="Y503" s="313"/>
      <c r="Z503" s="114">
        <f t="shared" si="67"/>
        <v>92</v>
      </c>
    </row>
    <row r="504" spans="1:26" s="245" customFormat="1" x14ac:dyDescent="0.25">
      <c r="A504" s="245" t="s">
        <v>1890</v>
      </c>
      <c r="B504" s="245" t="s">
        <v>1872</v>
      </c>
      <c r="E504" s="97"/>
      <c r="F504" s="97" t="s">
        <v>1764</v>
      </c>
      <c r="G504" s="132" t="str">
        <f t="shared" si="62"/>
        <v>23/5/2008</v>
      </c>
      <c r="H504" s="245">
        <v>23</v>
      </c>
      <c r="I504" s="245">
        <v>5</v>
      </c>
      <c r="J504" s="245">
        <v>2008</v>
      </c>
      <c r="K504" s="245" t="s">
        <v>1817</v>
      </c>
      <c r="L504" s="97"/>
      <c r="M504" s="245" t="s">
        <v>796</v>
      </c>
      <c r="N504" s="349">
        <v>23.2</v>
      </c>
      <c r="O504" s="349"/>
      <c r="Q504" s="245">
        <v>10</v>
      </c>
      <c r="R504" s="30">
        <f t="shared" si="63"/>
        <v>0.18499999999999997</v>
      </c>
      <c r="S504" s="5">
        <v>16.834999999999997</v>
      </c>
      <c r="T504" s="313">
        <f t="shared" si="64"/>
        <v>17.019999999999996</v>
      </c>
      <c r="U504" s="15">
        <f t="shared" si="65"/>
        <v>0.18499999999999872</v>
      </c>
      <c r="V504" s="313">
        <f t="shared" si="66"/>
        <v>6.1800000000000033</v>
      </c>
      <c r="W504" s="245">
        <v>11040</v>
      </c>
      <c r="X504" s="312"/>
      <c r="Y504" s="313"/>
      <c r="Z504" s="114">
        <f t="shared" si="67"/>
        <v>92</v>
      </c>
    </row>
    <row r="505" spans="1:26" s="245" customFormat="1" x14ac:dyDescent="0.25">
      <c r="A505" s="245" t="s">
        <v>1891</v>
      </c>
      <c r="B505" s="245" t="s">
        <v>1872</v>
      </c>
      <c r="E505" s="97"/>
      <c r="F505" s="97" t="s">
        <v>1764</v>
      </c>
      <c r="G505" s="132" t="str">
        <f t="shared" si="62"/>
        <v>23/5/2008</v>
      </c>
      <c r="H505" s="245">
        <v>23</v>
      </c>
      <c r="I505" s="245">
        <v>5</v>
      </c>
      <c r="J505" s="245">
        <v>2008</v>
      </c>
      <c r="K505" s="245" t="s">
        <v>1817</v>
      </c>
      <c r="L505" s="97"/>
      <c r="M505" s="245" t="s">
        <v>796</v>
      </c>
      <c r="N505" s="349">
        <v>23.2</v>
      </c>
      <c r="O505" s="349"/>
      <c r="Q505" s="245">
        <v>10</v>
      </c>
      <c r="R505" s="30">
        <f t="shared" si="63"/>
        <v>0.18499999999999997</v>
      </c>
      <c r="S505" s="5">
        <v>16.834999999999997</v>
      </c>
      <c r="T505" s="313">
        <f t="shared" si="64"/>
        <v>17.019999999999996</v>
      </c>
      <c r="U505" s="15">
        <f t="shared" si="65"/>
        <v>0.18499999999999872</v>
      </c>
      <c r="V505" s="313">
        <f t="shared" si="66"/>
        <v>6.1800000000000033</v>
      </c>
      <c r="W505" s="245">
        <v>11040</v>
      </c>
      <c r="X505" s="312"/>
      <c r="Y505" s="313"/>
      <c r="Z505" s="114">
        <f t="shared" si="67"/>
        <v>92</v>
      </c>
    </row>
    <row r="506" spans="1:26" s="245" customFormat="1" x14ac:dyDescent="0.25">
      <c r="A506" s="245" t="s">
        <v>1892</v>
      </c>
      <c r="B506" s="245" t="s">
        <v>1872</v>
      </c>
      <c r="E506" s="97"/>
      <c r="F506" s="97" t="s">
        <v>1764</v>
      </c>
      <c r="G506" s="132" t="str">
        <f t="shared" si="62"/>
        <v>23/5/2008</v>
      </c>
      <c r="H506" s="245">
        <v>23</v>
      </c>
      <c r="I506" s="245">
        <v>5</v>
      </c>
      <c r="J506" s="245">
        <v>2008</v>
      </c>
      <c r="K506" s="245" t="s">
        <v>1817</v>
      </c>
      <c r="L506" s="97"/>
      <c r="M506" s="245" t="s">
        <v>796</v>
      </c>
      <c r="N506" s="349">
        <v>23.2</v>
      </c>
      <c r="O506" s="349"/>
      <c r="Q506" s="245">
        <v>10</v>
      </c>
      <c r="R506" s="30">
        <f t="shared" si="63"/>
        <v>0.18499999999999997</v>
      </c>
      <c r="S506" s="5">
        <v>16.834999999999997</v>
      </c>
      <c r="T506" s="313">
        <f t="shared" si="64"/>
        <v>17.019999999999996</v>
      </c>
      <c r="U506" s="15">
        <f t="shared" si="65"/>
        <v>0.18499999999999872</v>
      </c>
      <c r="V506" s="313">
        <f t="shared" si="66"/>
        <v>6.1800000000000033</v>
      </c>
      <c r="W506" s="245">
        <v>11040</v>
      </c>
      <c r="X506" s="312"/>
      <c r="Y506" s="313"/>
      <c r="Z506" s="114">
        <f t="shared" si="67"/>
        <v>92</v>
      </c>
    </row>
    <row r="507" spans="1:26" s="245" customFormat="1" x14ac:dyDescent="0.25">
      <c r="A507" s="245" t="s">
        <v>1893</v>
      </c>
      <c r="B507" s="245" t="s">
        <v>1872</v>
      </c>
      <c r="E507" s="97"/>
      <c r="F507" s="97" t="s">
        <v>1764</v>
      </c>
      <c r="G507" s="132" t="str">
        <f t="shared" si="62"/>
        <v>23/5/2008</v>
      </c>
      <c r="H507" s="245">
        <v>23</v>
      </c>
      <c r="I507" s="245">
        <v>5</v>
      </c>
      <c r="J507" s="245">
        <v>2008</v>
      </c>
      <c r="K507" s="245" t="s">
        <v>1817</v>
      </c>
      <c r="L507" s="97"/>
      <c r="M507" s="245" t="s">
        <v>796</v>
      </c>
      <c r="N507" s="349">
        <v>23.2</v>
      </c>
      <c r="O507" s="349"/>
      <c r="Q507" s="245">
        <v>10</v>
      </c>
      <c r="R507" s="30">
        <f t="shared" si="63"/>
        <v>0.18499999999999997</v>
      </c>
      <c r="S507" s="5">
        <v>16.834999999999997</v>
      </c>
      <c r="T507" s="313">
        <f t="shared" si="64"/>
        <v>17.019999999999996</v>
      </c>
      <c r="U507" s="15">
        <f t="shared" si="65"/>
        <v>0.18499999999999872</v>
      </c>
      <c r="V507" s="313">
        <f t="shared" si="66"/>
        <v>6.1800000000000033</v>
      </c>
      <c r="W507" s="245">
        <v>11040</v>
      </c>
      <c r="X507" s="312"/>
      <c r="Y507" s="313"/>
      <c r="Z507" s="114">
        <f t="shared" si="67"/>
        <v>92</v>
      </c>
    </row>
    <row r="508" spans="1:26" s="245" customFormat="1" x14ac:dyDescent="0.25">
      <c r="A508" s="245" t="s">
        <v>1894</v>
      </c>
      <c r="B508" s="245" t="s">
        <v>1872</v>
      </c>
      <c r="E508" s="97"/>
      <c r="F508" s="97" t="s">
        <v>1764</v>
      </c>
      <c r="G508" s="132" t="str">
        <f t="shared" si="62"/>
        <v>23/5/2008</v>
      </c>
      <c r="H508" s="245">
        <v>23</v>
      </c>
      <c r="I508" s="245">
        <v>5</v>
      </c>
      <c r="J508" s="245">
        <v>2008</v>
      </c>
      <c r="K508" s="245" t="s">
        <v>1817</v>
      </c>
      <c r="L508" s="97"/>
      <c r="M508" s="245" t="s">
        <v>796</v>
      </c>
      <c r="N508" s="349">
        <v>23.2</v>
      </c>
      <c r="O508" s="349"/>
      <c r="Q508" s="245">
        <v>10</v>
      </c>
      <c r="R508" s="30">
        <f t="shared" si="63"/>
        <v>0.18499999999999997</v>
      </c>
      <c r="S508" s="5">
        <v>16.834999999999997</v>
      </c>
      <c r="T508" s="313">
        <f t="shared" si="64"/>
        <v>17.019999999999996</v>
      </c>
      <c r="U508" s="15">
        <f t="shared" si="65"/>
        <v>0.18499999999999872</v>
      </c>
      <c r="V508" s="313">
        <f t="shared" si="66"/>
        <v>6.1800000000000033</v>
      </c>
      <c r="W508" s="245">
        <v>11040</v>
      </c>
      <c r="X508" s="312"/>
      <c r="Y508" s="313"/>
      <c r="Z508" s="114">
        <f t="shared" si="67"/>
        <v>92</v>
      </c>
    </row>
    <row r="509" spans="1:26" s="245" customFormat="1" x14ac:dyDescent="0.25">
      <c r="A509" s="245" t="s">
        <v>1895</v>
      </c>
      <c r="B509" s="245" t="s">
        <v>1872</v>
      </c>
      <c r="E509" s="97"/>
      <c r="F509" s="97" t="s">
        <v>1764</v>
      </c>
      <c r="G509" s="132" t="str">
        <f t="shared" si="62"/>
        <v>23/5/2008</v>
      </c>
      <c r="H509" s="245">
        <v>23</v>
      </c>
      <c r="I509" s="245">
        <v>5</v>
      </c>
      <c r="J509" s="245">
        <v>2008</v>
      </c>
      <c r="K509" s="245" t="s">
        <v>1817</v>
      </c>
      <c r="L509" s="97"/>
      <c r="M509" s="245" t="s">
        <v>796</v>
      </c>
      <c r="N509" s="349">
        <v>23.2</v>
      </c>
      <c r="O509" s="349"/>
      <c r="Q509" s="245">
        <v>10</v>
      </c>
      <c r="R509" s="30">
        <f t="shared" si="63"/>
        <v>0.18499999999999997</v>
      </c>
      <c r="S509" s="5">
        <v>16.834999999999997</v>
      </c>
      <c r="T509" s="313">
        <f t="shared" si="64"/>
        <v>17.019999999999996</v>
      </c>
      <c r="U509" s="15">
        <f t="shared" si="65"/>
        <v>0.18499999999999872</v>
      </c>
      <c r="V509" s="313">
        <f t="shared" si="66"/>
        <v>6.1800000000000033</v>
      </c>
      <c r="W509" s="245">
        <v>11040</v>
      </c>
      <c r="X509" s="312"/>
      <c r="Y509" s="313"/>
      <c r="Z509" s="114">
        <f t="shared" si="67"/>
        <v>92</v>
      </c>
    </row>
    <row r="510" spans="1:26" s="245" customFormat="1" x14ac:dyDescent="0.25">
      <c r="A510" s="245" t="s">
        <v>1896</v>
      </c>
      <c r="B510" s="245" t="s">
        <v>1872</v>
      </c>
      <c r="E510" s="97"/>
      <c r="F510" s="97" t="s">
        <v>1764</v>
      </c>
      <c r="G510" s="132" t="str">
        <f t="shared" si="62"/>
        <v>23/5/2008</v>
      </c>
      <c r="H510" s="245">
        <v>23</v>
      </c>
      <c r="I510" s="245">
        <v>5</v>
      </c>
      <c r="J510" s="245">
        <v>2008</v>
      </c>
      <c r="K510" s="245" t="s">
        <v>1817</v>
      </c>
      <c r="L510" s="97"/>
      <c r="M510" s="245" t="s">
        <v>796</v>
      </c>
      <c r="N510" s="349">
        <v>23.2</v>
      </c>
      <c r="O510" s="349"/>
      <c r="Q510" s="245">
        <v>10</v>
      </c>
      <c r="R510" s="30">
        <f t="shared" si="63"/>
        <v>0.18499999999999997</v>
      </c>
      <c r="S510" s="5">
        <v>16.834999999999997</v>
      </c>
      <c r="T510" s="313">
        <f t="shared" si="64"/>
        <v>17.019999999999996</v>
      </c>
      <c r="U510" s="15">
        <f t="shared" si="65"/>
        <v>0.18499999999999872</v>
      </c>
      <c r="V510" s="313">
        <f t="shared" si="66"/>
        <v>6.1800000000000033</v>
      </c>
      <c r="W510" s="245">
        <v>11040</v>
      </c>
      <c r="X510" s="312"/>
      <c r="Y510" s="313"/>
      <c r="Z510" s="114">
        <f t="shared" si="67"/>
        <v>92</v>
      </c>
    </row>
    <row r="511" spans="1:26" s="245" customFormat="1" x14ac:dyDescent="0.25">
      <c r="A511" s="245" t="s">
        <v>1897</v>
      </c>
      <c r="B511" s="245" t="s">
        <v>1872</v>
      </c>
      <c r="E511" s="97"/>
      <c r="F511" s="97" t="s">
        <v>1764</v>
      </c>
      <c r="G511" s="132" t="str">
        <f t="shared" si="62"/>
        <v>23/5/2008</v>
      </c>
      <c r="H511" s="245">
        <v>23</v>
      </c>
      <c r="I511" s="245">
        <v>5</v>
      </c>
      <c r="J511" s="245">
        <v>2008</v>
      </c>
      <c r="K511" s="245" t="s">
        <v>1817</v>
      </c>
      <c r="L511" s="97"/>
      <c r="M511" s="245" t="s">
        <v>796</v>
      </c>
      <c r="N511" s="349">
        <v>23.2</v>
      </c>
      <c r="O511" s="349"/>
      <c r="Q511" s="245">
        <v>10</v>
      </c>
      <c r="R511" s="30">
        <f t="shared" si="63"/>
        <v>0.18499999999999997</v>
      </c>
      <c r="S511" s="5">
        <v>16.834999999999997</v>
      </c>
      <c r="T511" s="313">
        <f t="shared" si="64"/>
        <v>17.019999999999996</v>
      </c>
      <c r="U511" s="15">
        <f t="shared" si="65"/>
        <v>0.18499999999999872</v>
      </c>
      <c r="V511" s="313">
        <f t="shared" si="66"/>
        <v>6.1800000000000033</v>
      </c>
      <c r="W511" s="245">
        <v>11040</v>
      </c>
      <c r="X511" s="312"/>
      <c r="Y511" s="313"/>
      <c r="Z511" s="114">
        <f t="shared" si="67"/>
        <v>92</v>
      </c>
    </row>
    <row r="512" spans="1:26" s="245" customFormat="1" x14ac:dyDescent="0.25">
      <c r="A512" s="245" t="s">
        <v>1898</v>
      </c>
      <c r="B512" s="245" t="s">
        <v>1872</v>
      </c>
      <c r="E512" s="97"/>
      <c r="F512" s="97" t="s">
        <v>1764</v>
      </c>
      <c r="G512" s="132" t="str">
        <f t="shared" si="62"/>
        <v>23/5/2008</v>
      </c>
      <c r="H512" s="245">
        <v>23</v>
      </c>
      <c r="I512" s="245">
        <v>5</v>
      </c>
      <c r="J512" s="245">
        <v>2008</v>
      </c>
      <c r="K512" s="245" t="s">
        <v>1817</v>
      </c>
      <c r="L512" s="97"/>
      <c r="M512" s="245" t="s">
        <v>796</v>
      </c>
      <c r="N512" s="349">
        <v>23.2</v>
      </c>
      <c r="O512" s="349"/>
      <c r="Q512" s="245">
        <v>10</v>
      </c>
      <c r="R512" s="30">
        <f t="shared" si="63"/>
        <v>0.18499999999999997</v>
      </c>
      <c r="S512" s="5">
        <v>16.834999999999997</v>
      </c>
      <c r="T512" s="313">
        <f t="shared" si="64"/>
        <v>17.019999999999996</v>
      </c>
      <c r="U512" s="15">
        <f t="shared" si="65"/>
        <v>0.18499999999999872</v>
      </c>
      <c r="V512" s="313">
        <f t="shared" si="66"/>
        <v>6.1800000000000033</v>
      </c>
      <c r="W512" s="245">
        <v>11040</v>
      </c>
      <c r="X512" s="312"/>
      <c r="Y512" s="313"/>
      <c r="Z512" s="114">
        <f t="shared" si="67"/>
        <v>92</v>
      </c>
    </row>
    <row r="513" spans="1:26" s="245" customFormat="1" x14ac:dyDescent="0.25">
      <c r="A513" s="245" t="s">
        <v>1899</v>
      </c>
      <c r="B513" s="245" t="s">
        <v>1872</v>
      </c>
      <c r="E513" s="97"/>
      <c r="F513" s="97" t="s">
        <v>1764</v>
      </c>
      <c r="G513" s="132" t="str">
        <f t="shared" si="62"/>
        <v>23/5/2008</v>
      </c>
      <c r="H513" s="245">
        <v>23</v>
      </c>
      <c r="I513" s="245">
        <v>5</v>
      </c>
      <c r="J513" s="245">
        <v>2008</v>
      </c>
      <c r="K513" s="245" t="s">
        <v>1817</v>
      </c>
      <c r="L513" s="97"/>
      <c r="M513" s="245" t="s">
        <v>796</v>
      </c>
      <c r="N513" s="349">
        <v>23.2</v>
      </c>
      <c r="O513" s="349"/>
      <c r="Q513" s="245">
        <v>10</v>
      </c>
      <c r="R513" s="30">
        <f t="shared" si="63"/>
        <v>0.18499999999999997</v>
      </c>
      <c r="S513" s="5">
        <v>16.834999999999997</v>
      </c>
      <c r="T513" s="313">
        <f t="shared" si="64"/>
        <v>17.019999999999996</v>
      </c>
      <c r="U513" s="15">
        <f t="shared" si="65"/>
        <v>0.18499999999999872</v>
      </c>
      <c r="V513" s="313">
        <f t="shared" si="66"/>
        <v>6.1800000000000033</v>
      </c>
      <c r="W513" s="245">
        <v>11040</v>
      </c>
      <c r="X513" s="312"/>
      <c r="Y513" s="313"/>
      <c r="Z513" s="114">
        <f t="shared" si="67"/>
        <v>92</v>
      </c>
    </row>
    <row r="514" spans="1:26" s="245" customFormat="1" x14ac:dyDescent="0.25">
      <c r="A514" s="245" t="s">
        <v>1900</v>
      </c>
      <c r="B514" s="245" t="s">
        <v>1872</v>
      </c>
      <c r="E514" s="97"/>
      <c r="F514" s="97" t="s">
        <v>1764</v>
      </c>
      <c r="G514" s="132" t="str">
        <f t="shared" si="62"/>
        <v>23/5/2008</v>
      </c>
      <c r="H514" s="245">
        <v>23</v>
      </c>
      <c r="I514" s="245">
        <v>5</v>
      </c>
      <c r="J514" s="245">
        <v>2008</v>
      </c>
      <c r="K514" s="245" t="s">
        <v>1817</v>
      </c>
      <c r="L514" s="97"/>
      <c r="M514" s="245" t="s">
        <v>796</v>
      </c>
      <c r="N514" s="349">
        <v>23.2</v>
      </c>
      <c r="O514" s="349"/>
      <c r="Q514" s="245">
        <v>10</v>
      </c>
      <c r="R514" s="30">
        <f t="shared" si="63"/>
        <v>0.18499999999999997</v>
      </c>
      <c r="S514" s="5">
        <v>16.834999999999997</v>
      </c>
      <c r="T514" s="313">
        <f t="shared" si="64"/>
        <v>17.019999999999996</v>
      </c>
      <c r="U514" s="15">
        <f t="shared" si="65"/>
        <v>0.18499999999999872</v>
      </c>
      <c r="V514" s="313">
        <f t="shared" si="66"/>
        <v>6.1800000000000033</v>
      </c>
      <c r="W514" s="245">
        <v>11040</v>
      </c>
      <c r="X514" s="312"/>
      <c r="Y514" s="313"/>
      <c r="Z514" s="114">
        <f t="shared" si="67"/>
        <v>92</v>
      </c>
    </row>
    <row r="515" spans="1:26" s="245" customFormat="1" x14ac:dyDescent="0.25">
      <c r="A515" s="245" t="s">
        <v>1901</v>
      </c>
      <c r="B515" s="245" t="s">
        <v>1872</v>
      </c>
      <c r="E515" s="97"/>
      <c r="F515" s="97" t="s">
        <v>1764</v>
      </c>
      <c r="G515" s="132" t="str">
        <f t="shared" si="62"/>
        <v>23/5/2008</v>
      </c>
      <c r="H515" s="245">
        <v>23</v>
      </c>
      <c r="I515" s="245">
        <v>5</v>
      </c>
      <c r="J515" s="245">
        <v>2008</v>
      </c>
      <c r="K515" s="245" t="s">
        <v>1817</v>
      </c>
      <c r="L515" s="97"/>
      <c r="M515" s="245" t="s">
        <v>796</v>
      </c>
      <c r="N515" s="349">
        <v>23.2</v>
      </c>
      <c r="O515" s="349"/>
      <c r="Q515" s="245">
        <v>10</v>
      </c>
      <c r="R515" s="30">
        <f t="shared" si="63"/>
        <v>0.18499999999999997</v>
      </c>
      <c r="S515" s="5">
        <v>16.834999999999997</v>
      </c>
      <c r="T515" s="313">
        <f t="shared" si="64"/>
        <v>17.019999999999996</v>
      </c>
      <c r="U515" s="15">
        <f t="shared" si="65"/>
        <v>0.18499999999999872</v>
      </c>
      <c r="V515" s="313">
        <f t="shared" si="66"/>
        <v>6.1800000000000033</v>
      </c>
      <c r="W515" s="245">
        <v>11040</v>
      </c>
      <c r="X515" s="312"/>
      <c r="Y515" s="313"/>
      <c r="Z515" s="114">
        <f t="shared" si="67"/>
        <v>92</v>
      </c>
    </row>
    <row r="516" spans="1:26" s="245" customFormat="1" x14ac:dyDescent="0.25">
      <c r="A516" s="245" t="s">
        <v>1902</v>
      </c>
      <c r="B516" s="245" t="s">
        <v>1872</v>
      </c>
      <c r="E516" s="97"/>
      <c r="F516" s="97" t="s">
        <v>1764</v>
      </c>
      <c r="G516" s="132" t="str">
        <f t="shared" si="62"/>
        <v>23/5/2008</v>
      </c>
      <c r="H516" s="245">
        <v>23</v>
      </c>
      <c r="I516" s="245">
        <v>5</v>
      </c>
      <c r="J516" s="245">
        <v>2008</v>
      </c>
      <c r="K516" s="245" t="s">
        <v>1817</v>
      </c>
      <c r="L516" s="97"/>
      <c r="M516" s="245" t="s">
        <v>796</v>
      </c>
      <c r="N516" s="349">
        <v>23.2</v>
      </c>
      <c r="O516" s="349"/>
      <c r="Q516" s="245">
        <v>10</v>
      </c>
      <c r="R516" s="30">
        <f t="shared" si="63"/>
        <v>0.18499999999999997</v>
      </c>
      <c r="S516" s="5">
        <v>16.834999999999997</v>
      </c>
      <c r="T516" s="313">
        <f t="shared" si="64"/>
        <v>17.019999999999996</v>
      </c>
      <c r="U516" s="15">
        <f t="shared" si="65"/>
        <v>0.18499999999999872</v>
      </c>
      <c r="V516" s="313">
        <f t="shared" si="66"/>
        <v>6.1800000000000033</v>
      </c>
      <c r="W516" s="245">
        <v>11040</v>
      </c>
      <c r="X516" s="312"/>
      <c r="Y516" s="313"/>
      <c r="Z516" s="114">
        <f t="shared" si="67"/>
        <v>92</v>
      </c>
    </row>
    <row r="517" spans="1:26" s="245" customFormat="1" x14ac:dyDescent="0.25">
      <c r="A517" s="245" t="s">
        <v>1903</v>
      </c>
      <c r="B517" s="245" t="s">
        <v>1872</v>
      </c>
      <c r="E517" s="97"/>
      <c r="F517" s="97" t="s">
        <v>1764</v>
      </c>
      <c r="G517" s="132" t="str">
        <f t="shared" si="62"/>
        <v>23/5/2008</v>
      </c>
      <c r="H517" s="245">
        <v>23</v>
      </c>
      <c r="I517" s="245">
        <v>5</v>
      </c>
      <c r="J517" s="245">
        <v>2008</v>
      </c>
      <c r="K517" s="245" t="s">
        <v>1817</v>
      </c>
      <c r="L517" s="97"/>
      <c r="M517" s="245" t="s">
        <v>796</v>
      </c>
      <c r="N517" s="349">
        <v>23.2</v>
      </c>
      <c r="O517" s="349"/>
      <c r="Q517" s="245">
        <v>10</v>
      </c>
      <c r="R517" s="30">
        <f t="shared" si="63"/>
        <v>0.18499999999999997</v>
      </c>
      <c r="S517" s="5">
        <v>16.834999999999997</v>
      </c>
      <c r="T517" s="313">
        <f t="shared" si="64"/>
        <v>17.019999999999996</v>
      </c>
      <c r="U517" s="15">
        <f t="shared" si="65"/>
        <v>0.18499999999999872</v>
      </c>
      <c r="V517" s="313">
        <f t="shared" si="66"/>
        <v>6.1800000000000033</v>
      </c>
      <c r="W517" s="245">
        <v>11040</v>
      </c>
      <c r="X517" s="312"/>
      <c r="Y517" s="313"/>
      <c r="Z517" s="114">
        <f t="shared" si="67"/>
        <v>92</v>
      </c>
    </row>
    <row r="518" spans="1:26" s="245" customFormat="1" x14ac:dyDescent="0.25">
      <c r="A518" s="245" t="s">
        <v>1904</v>
      </c>
      <c r="B518" s="245" t="s">
        <v>1872</v>
      </c>
      <c r="E518" s="97"/>
      <c r="F518" s="97" t="s">
        <v>1764</v>
      </c>
      <c r="G518" s="132" t="str">
        <f t="shared" si="62"/>
        <v>23/5/2008</v>
      </c>
      <c r="H518" s="245">
        <v>23</v>
      </c>
      <c r="I518" s="245">
        <v>5</v>
      </c>
      <c r="J518" s="245">
        <v>2008</v>
      </c>
      <c r="K518" s="245" t="s">
        <v>1817</v>
      </c>
      <c r="L518" s="97"/>
      <c r="M518" s="245" t="s">
        <v>796</v>
      </c>
      <c r="N518" s="349">
        <v>23.2</v>
      </c>
      <c r="O518" s="349"/>
      <c r="Q518" s="245">
        <v>10</v>
      </c>
      <c r="R518" s="30">
        <f t="shared" si="63"/>
        <v>0.18499999999999997</v>
      </c>
      <c r="S518" s="5">
        <v>16.834999999999997</v>
      </c>
      <c r="T518" s="313">
        <f t="shared" si="64"/>
        <v>17.019999999999996</v>
      </c>
      <c r="U518" s="15">
        <f t="shared" si="65"/>
        <v>0.18499999999999872</v>
      </c>
      <c r="V518" s="313">
        <f t="shared" si="66"/>
        <v>6.1800000000000033</v>
      </c>
      <c r="W518" s="245">
        <v>11040</v>
      </c>
      <c r="X518" s="312"/>
      <c r="Y518" s="313"/>
      <c r="Z518" s="114">
        <f t="shared" si="67"/>
        <v>92</v>
      </c>
    </row>
    <row r="519" spans="1:26" s="245" customFormat="1" x14ac:dyDescent="0.25">
      <c r="A519" s="245" t="s">
        <v>1905</v>
      </c>
      <c r="B519" s="245" t="s">
        <v>1872</v>
      </c>
      <c r="E519" s="97"/>
      <c r="F519" s="97" t="s">
        <v>1764</v>
      </c>
      <c r="G519" s="132" t="str">
        <f t="shared" si="62"/>
        <v>23/5/2008</v>
      </c>
      <c r="H519" s="245">
        <v>23</v>
      </c>
      <c r="I519" s="245">
        <v>5</v>
      </c>
      <c r="J519" s="245">
        <v>2008</v>
      </c>
      <c r="K519" s="245" t="s">
        <v>1817</v>
      </c>
      <c r="L519" s="97"/>
      <c r="M519" s="245" t="s">
        <v>796</v>
      </c>
      <c r="N519" s="349">
        <v>23.2</v>
      </c>
      <c r="O519" s="349"/>
      <c r="Q519" s="245">
        <v>10</v>
      </c>
      <c r="R519" s="30">
        <f t="shared" si="63"/>
        <v>0.18499999999999997</v>
      </c>
      <c r="S519" s="5">
        <v>16.834999999999997</v>
      </c>
      <c r="T519" s="313">
        <f t="shared" si="64"/>
        <v>17.019999999999996</v>
      </c>
      <c r="U519" s="15">
        <f t="shared" si="65"/>
        <v>0.18499999999999872</v>
      </c>
      <c r="V519" s="313">
        <f t="shared" si="66"/>
        <v>6.1800000000000033</v>
      </c>
      <c r="W519" s="245">
        <v>11040</v>
      </c>
      <c r="X519" s="312"/>
      <c r="Y519" s="313"/>
      <c r="Z519" s="114">
        <f t="shared" si="67"/>
        <v>92</v>
      </c>
    </row>
    <row r="520" spans="1:26" s="245" customFormat="1" x14ac:dyDescent="0.25">
      <c r="A520" s="245" t="s">
        <v>1906</v>
      </c>
      <c r="B520" s="245" t="s">
        <v>1872</v>
      </c>
      <c r="E520" s="97"/>
      <c r="F520" s="97" t="s">
        <v>1764</v>
      </c>
      <c r="G520" s="132" t="str">
        <f t="shared" si="62"/>
        <v>23/5/2008</v>
      </c>
      <c r="H520" s="245">
        <v>23</v>
      </c>
      <c r="I520" s="245">
        <v>5</v>
      </c>
      <c r="J520" s="245">
        <v>2008</v>
      </c>
      <c r="K520" s="245" t="s">
        <v>1817</v>
      </c>
      <c r="L520" s="97"/>
      <c r="M520" s="245" t="s">
        <v>796</v>
      </c>
      <c r="N520" s="349">
        <v>23.2</v>
      </c>
      <c r="O520" s="349"/>
      <c r="Q520" s="245">
        <v>10</v>
      </c>
      <c r="R520" s="30">
        <f t="shared" si="63"/>
        <v>0.18499999999999997</v>
      </c>
      <c r="S520" s="5">
        <v>16.834999999999997</v>
      </c>
      <c r="T520" s="313">
        <f t="shared" si="64"/>
        <v>17.019999999999996</v>
      </c>
      <c r="U520" s="15">
        <f t="shared" si="65"/>
        <v>0.18499999999999872</v>
      </c>
      <c r="V520" s="313">
        <f t="shared" si="66"/>
        <v>6.1800000000000033</v>
      </c>
      <c r="W520" s="245">
        <v>11040</v>
      </c>
      <c r="X520" s="312"/>
      <c r="Y520" s="313"/>
      <c r="Z520" s="114">
        <f t="shared" si="67"/>
        <v>92</v>
      </c>
    </row>
    <row r="521" spans="1:26" s="245" customFormat="1" x14ac:dyDescent="0.25">
      <c r="A521" s="245" t="s">
        <v>1907</v>
      </c>
      <c r="B521" s="245" t="s">
        <v>1872</v>
      </c>
      <c r="E521" s="97"/>
      <c r="F521" s="97" t="s">
        <v>1764</v>
      </c>
      <c r="G521" s="132" t="str">
        <f t="shared" si="62"/>
        <v>23/5/2008</v>
      </c>
      <c r="H521" s="245">
        <v>23</v>
      </c>
      <c r="I521" s="245">
        <v>5</v>
      </c>
      <c r="J521" s="245">
        <v>2008</v>
      </c>
      <c r="K521" s="245" t="s">
        <v>1817</v>
      </c>
      <c r="L521" s="97"/>
      <c r="M521" s="245" t="s">
        <v>796</v>
      </c>
      <c r="N521" s="349">
        <v>23.2</v>
      </c>
      <c r="O521" s="349"/>
      <c r="Q521" s="245">
        <v>10</v>
      </c>
      <c r="R521" s="30">
        <f t="shared" si="63"/>
        <v>0.18499999999999997</v>
      </c>
      <c r="S521" s="5">
        <v>16.834999999999997</v>
      </c>
      <c r="T521" s="313">
        <f t="shared" si="64"/>
        <v>17.019999999999996</v>
      </c>
      <c r="U521" s="15">
        <f t="shared" si="65"/>
        <v>0.18499999999999872</v>
      </c>
      <c r="V521" s="313">
        <f t="shared" si="66"/>
        <v>6.1800000000000033</v>
      </c>
      <c r="W521" s="245">
        <v>11040</v>
      </c>
      <c r="X521" s="312"/>
      <c r="Y521" s="313"/>
      <c r="Z521" s="114">
        <f t="shared" si="67"/>
        <v>92</v>
      </c>
    </row>
    <row r="522" spans="1:26" s="245" customFormat="1" x14ac:dyDescent="0.25">
      <c r="A522" s="245" t="s">
        <v>1908</v>
      </c>
      <c r="B522" s="245" t="s">
        <v>1872</v>
      </c>
      <c r="E522" s="97"/>
      <c r="F522" s="97" t="s">
        <v>1764</v>
      </c>
      <c r="G522" s="132" t="str">
        <f t="shared" si="62"/>
        <v>23/5/2008</v>
      </c>
      <c r="H522" s="245">
        <v>23</v>
      </c>
      <c r="I522" s="245">
        <v>5</v>
      </c>
      <c r="J522" s="245">
        <v>2008</v>
      </c>
      <c r="K522" s="245" t="s">
        <v>1817</v>
      </c>
      <c r="L522" s="97"/>
      <c r="M522" s="245" t="s">
        <v>796</v>
      </c>
      <c r="N522" s="349">
        <v>23.2</v>
      </c>
      <c r="O522" s="349"/>
      <c r="Q522" s="245">
        <v>10</v>
      </c>
      <c r="R522" s="30">
        <f t="shared" si="63"/>
        <v>0.18499999999999997</v>
      </c>
      <c r="S522" s="5">
        <v>16.834999999999997</v>
      </c>
      <c r="T522" s="313">
        <f t="shared" si="64"/>
        <v>17.019999999999996</v>
      </c>
      <c r="U522" s="15">
        <f t="shared" si="65"/>
        <v>0.18499999999999872</v>
      </c>
      <c r="V522" s="313">
        <f t="shared" si="66"/>
        <v>6.1800000000000033</v>
      </c>
      <c r="W522" s="245">
        <v>11040</v>
      </c>
      <c r="X522" s="312"/>
      <c r="Y522" s="313"/>
      <c r="Z522" s="114">
        <f t="shared" si="67"/>
        <v>92</v>
      </c>
    </row>
    <row r="523" spans="1:26" s="245" customFormat="1" x14ac:dyDescent="0.25">
      <c r="A523" s="245" t="s">
        <v>1909</v>
      </c>
      <c r="B523" s="245" t="s">
        <v>1872</v>
      </c>
      <c r="E523" s="97"/>
      <c r="F523" s="97" t="s">
        <v>1764</v>
      </c>
      <c r="G523" s="132" t="str">
        <f t="shared" si="62"/>
        <v>23/5/2008</v>
      </c>
      <c r="H523" s="245">
        <v>23</v>
      </c>
      <c r="I523" s="245">
        <v>5</v>
      </c>
      <c r="J523" s="245">
        <v>2008</v>
      </c>
      <c r="K523" s="245" t="s">
        <v>1817</v>
      </c>
      <c r="L523" s="97"/>
      <c r="M523" s="245" t="s">
        <v>796</v>
      </c>
      <c r="N523" s="349">
        <v>23.2</v>
      </c>
      <c r="O523" s="349"/>
      <c r="Q523" s="245">
        <v>10</v>
      </c>
      <c r="R523" s="30">
        <f t="shared" si="63"/>
        <v>0.18499999999999997</v>
      </c>
      <c r="S523" s="5">
        <v>16.834999999999997</v>
      </c>
      <c r="T523" s="313">
        <f t="shared" si="64"/>
        <v>17.019999999999996</v>
      </c>
      <c r="U523" s="15">
        <f t="shared" si="65"/>
        <v>0.18499999999999872</v>
      </c>
      <c r="V523" s="313">
        <f t="shared" si="66"/>
        <v>6.1800000000000033</v>
      </c>
      <c r="W523" s="245">
        <v>11040</v>
      </c>
      <c r="X523" s="312"/>
      <c r="Y523" s="313"/>
      <c r="Z523" s="114">
        <f t="shared" si="67"/>
        <v>92</v>
      </c>
    </row>
    <row r="524" spans="1:26" s="245" customFormat="1" x14ac:dyDescent="0.25">
      <c r="A524" s="245" t="s">
        <v>1910</v>
      </c>
      <c r="B524" s="245" t="s">
        <v>1872</v>
      </c>
      <c r="E524" s="97"/>
      <c r="F524" s="97" t="s">
        <v>1764</v>
      </c>
      <c r="G524" s="132" t="str">
        <f t="shared" si="62"/>
        <v>23/5/2008</v>
      </c>
      <c r="H524" s="245">
        <v>23</v>
      </c>
      <c r="I524" s="245">
        <v>5</v>
      </c>
      <c r="J524" s="245">
        <v>2008</v>
      </c>
      <c r="K524" s="245" t="s">
        <v>1817</v>
      </c>
      <c r="L524" s="97"/>
      <c r="M524" s="245" t="s">
        <v>796</v>
      </c>
      <c r="N524" s="349">
        <v>23.2</v>
      </c>
      <c r="O524" s="349"/>
      <c r="Q524" s="245">
        <v>10</v>
      </c>
      <c r="R524" s="30">
        <f t="shared" si="63"/>
        <v>0.18499999999999997</v>
      </c>
      <c r="S524" s="5">
        <v>16.834999999999997</v>
      </c>
      <c r="T524" s="313">
        <f t="shared" si="64"/>
        <v>17.019999999999996</v>
      </c>
      <c r="U524" s="15">
        <f t="shared" si="65"/>
        <v>0.18499999999999872</v>
      </c>
      <c r="V524" s="313">
        <f t="shared" si="66"/>
        <v>6.1800000000000033</v>
      </c>
      <c r="W524" s="245">
        <v>11040</v>
      </c>
      <c r="X524" s="312"/>
      <c r="Y524" s="313"/>
      <c r="Z524" s="114">
        <f t="shared" si="67"/>
        <v>92</v>
      </c>
    </row>
    <row r="525" spans="1:26" s="245" customFormat="1" x14ac:dyDescent="0.25">
      <c r="A525" s="245" t="s">
        <v>1911</v>
      </c>
      <c r="B525" s="245" t="s">
        <v>1872</v>
      </c>
      <c r="E525" s="97"/>
      <c r="F525" s="97" t="s">
        <v>1764</v>
      </c>
      <c r="G525" s="132" t="str">
        <f t="shared" si="62"/>
        <v>23/5/2008</v>
      </c>
      <c r="H525" s="245">
        <v>23</v>
      </c>
      <c r="I525" s="245">
        <v>5</v>
      </c>
      <c r="J525" s="245">
        <v>2008</v>
      </c>
      <c r="K525" s="245" t="s">
        <v>1817</v>
      </c>
      <c r="L525" s="97"/>
      <c r="M525" s="245" t="s">
        <v>796</v>
      </c>
      <c r="N525" s="349">
        <v>23.2</v>
      </c>
      <c r="O525" s="349"/>
      <c r="Q525" s="245">
        <v>10</v>
      </c>
      <c r="R525" s="30">
        <f t="shared" si="63"/>
        <v>0.18499999999999997</v>
      </c>
      <c r="S525" s="5">
        <v>16.834999999999997</v>
      </c>
      <c r="T525" s="313">
        <f t="shared" si="64"/>
        <v>17.019999999999996</v>
      </c>
      <c r="U525" s="15">
        <f t="shared" si="65"/>
        <v>0.18499999999999872</v>
      </c>
      <c r="V525" s="313">
        <f t="shared" si="66"/>
        <v>6.1800000000000033</v>
      </c>
      <c r="W525" s="245">
        <v>11040</v>
      </c>
      <c r="X525" s="312"/>
      <c r="Y525" s="313"/>
      <c r="Z525" s="114">
        <f t="shared" si="67"/>
        <v>92</v>
      </c>
    </row>
    <row r="526" spans="1:26" s="245" customFormat="1" x14ac:dyDescent="0.25">
      <c r="A526" s="245" t="s">
        <v>1912</v>
      </c>
      <c r="B526" s="245" t="s">
        <v>1872</v>
      </c>
      <c r="E526" s="97"/>
      <c r="F526" s="97" t="s">
        <v>1764</v>
      </c>
      <c r="G526" s="132" t="str">
        <f t="shared" si="62"/>
        <v>23/5/2008</v>
      </c>
      <c r="H526" s="245">
        <v>23</v>
      </c>
      <c r="I526" s="245">
        <v>5</v>
      </c>
      <c r="J526" s="245">
        <v>2008</v>
      </c>
      <c r="K526" s="245" t="s">
        <v>1817</v>
      </c>
      <c r="L526" s="97"/>
      <c r="M526" s="245" t="s">
        <v>796</v>
      </c>
      <c r="N526" s="349">
        <v>23.2</v>
      </c>
      <c r="O526" s="349"/>
      <c r="Q526" s="245">
        <v>10</v>
      </c>
      <c r="R526" s="30">
        <f t="shared" si="63"/>
        <v>0.18499999999999997</v>
      </c>
      <c r="S526" s="5">
        <v>16.834999999999997</v>
      </c>
      <c r="T526" s="313">
        <f t="shared" si="64"/>
        <v>17.019999999999996</v>
      </c>
      <c r="U526" s="15">
        <f t="shared" si="65"/>
        <v>0.18499999999999872</v>
      </c>
      <c r="V526" s="313">
        <f t="shared" si="66"/>
        <v>6.1800000000000033</v>
      </c>
      <c r="W526" s="245">
        <v>11040</v>
      </c>
      <c r="X526" s="312"/>
      <c r="Y526" s="313"/>
      <c r="Z526" s="114">
        <f t="shared" si="67"/>
        <v>92</v>
      </c>
    </row>
    <row r="527" spans="1:26" s="245" customFormat="1" x14ac:dyDescent="0.25">
      <c r="A527" s="245" t="s">
        <v>1913</v>
      </c>
      <c r="B527" s="245" t="s">
        <v>1872</v>
      </c>
      <c r="E527" s="97"/>
      <c r="F527" s="97" t="s">
        <v>1764</v>
      </c>
      <c r="G527" s="132" t="str">
        <f t="shared" si="62"/>
        <v>23/5/2008</v>
      </c>
      <c r="H527" s="245">
        <v>23</v>
      </c>
      <c r="I527" s="245">
        <v>5</v>
      </c>
      <c r="J527" s="245">
        <v>2008</v>
      </c>
      <c r="K527" s="245" t="s">
        <v>1817</v>
      </c>
      <c r="L527" s="97"/>
      <c r="M527" s="245" t="s">
        <v>796</v>
      </c>
      <c r="N527" s="349">
        <v>23.2</v>
      </c>
      <c r="O527" s="349"/>
      <c r="Q527" s="245">
        <v>10</v>
      </c>
      <c r="R527" s="30">
        <f t="shared" si="63"/>
        <v>0.18499999999999997</v>
      </c>
      <c r="S527" s="5">
        <v>16.834999999999997</v>
      </c>
      <c r="T527" s="313">
        <f t="shared" si="64"/>
        <v>17.019999999999996</v>
      </c>
      <c r="U527" s="15">
        <f t="shared" si="65"/>
        <v>0.18499999999999872</v>
      </c>
      <c r="V527" s="313">
        <f t="shared" si="66"/>
        <v>6.1800000000000033</v>
      </c>
      <c r="W527" s="245">
        <v>11040</v>
      </c>
      <c r="X527" s="312"/>
      <c r="Y527" s="313"/>
      <c r="Z527" s="114">
        <f t="shared" si="67"/>
        <v>92</v>
      </c>
    </row>
    <row r="528" spans="1:26" s="245" customFormat="1" x14ac:dyDescent="0.25">
      <c r="A528" s="245" t="s">
        <v>1914</v>
      </c>
      <c r="B528" s="245" t="s">
        <v>1872</v>
      </c>
      <c r="E528" s="97"/>
      <c r="F528" s="97" t="s">
        <v>1764</v>
      </c>
      <c r="G528" s="132" t="str">
        <f t="shared" si="62"/>
        <v>23/5/2008</v>
      </c>
      <c r="H528" s="245">
        <v>23</v>
      </c>
      <c r="I528" s="245">
        <v>5</v>
      </c>
      <c r="J528" s="245">
        <v>2008</v>
      </c>
      <c r="K528" s="245" t="s">
        <v>1817</v>
      </c>
      <c r="L528" s="97"/>
      <c r="M528" s="245" t="s">
        <v>796</v>
      </c>
      <c r="N528" s="349">
        <v>23.2</v>
      </c>
      <c r="O528" s="349"/>
      <c r="Q528" s="245">
        <v>10</v>
      </c>
      <c r="R528" s="30">
        <f t="shared" si="63"/>
        <v>0.18499999999999997</v>
      </c>
      <c r="S528" s="5">
        <v>16.834999999999997</v>
      </c>
      <c r="T528" s="313">
        <f t="shared" si="64"/>
        <v>17.019999999999996</v>
      </c>
      <c r="U528" s="15">
        <f t="shared" si="65"/>
        <v>0.18499999999999872</v>
      </c>
      <c r="V528" s="313">
        <f t="shared" si="66"/>
        <v>6.1800000000000033</v>
      </c>
      <c r="W528" s="245">
        <v>11040</v>
      </c>
      <c r="X528" s="312"/>
      <c r="Y528" s="313"/>
      <c r="Z528" s="114">
        <f t="shared" si="67"/>
        <v>92</v>
      </c>
    </row>
    <row r="529" spans="1:26" s="245" customFormat="1" x14ac:dyDescent="0.25">
      <c r="A529" s="245" t="s">
        <v>1915</v>
      </c>
      <c r="B529" s="245" t="s">
        <v>1872</v>
      </c>
      <c r="E529" s="97"/>
      <c r="F529" s="97" t="s">
        <v>1764</v>
      </c>
      <c r="G529" s="132" t="str">
        <f t="shared" si="62"/>
        <v>23/5/2008</v>
      </c>
      <c r="H529" s="245">
        <v>23</v>
      </c>
      <c r="I529" s="245">
        <v>5</v>
      </c>
      <c r="J529" s="245">
        <v>2008</v>
      </c>
      <c r="K529" s="245" t="s">
        <v>1817</v>
      </c>
      <c r="L529" s="97"/>
      <c r="M529" s="245" t="s">
        <v>796</v>
      </c>
      <c r="N529" s="349">
        <v>23.2</v>
      </c>
      <c r="O529" s="349"/>
      <c r="Q529" s="245">
        <v>10</v>
      </c>
      <c r="R529" s="30">
        <f t="shared" si="63"/>
        <v>0.18499999999999997</v>
      </c>
      <c r="S529" s="5">
        <v>16.834999999999997</v>
      </c>
      <c r="T529" s="313">
        <f t="shared" si="64"/>
        <v>17.019999999999996</v>
      </c>
      <c r="U529" s="15">
        <f t="shared" si="65"/>
        <v>0.18499999999999872</v>
      </c>
      <c r="V529" s="313">
        <f t="shared" si="66"/>
        <v>6.1800000000000033</v>
      </c>
      <c r="W529" s="245">
        <v>11040</v>
      </c>
      <c r="X529" s="312"/>
      <c r="Y529" s="313"/>
      <c r="Z529" s="114">
        <f t="shared" si="67"/>
        <v>92</v>
      </c>
    </row>
    <row r="530" spans="1:26" s="245" customFormat="1" x14ac:dyDescent="0.25">
      <c r="A530" s="245" t="s">
        <v>1916</v>
      </c>
      <c r="B530" s="245" t="s">
        <v>1872</v>
      </c>
      <c r="E530" s="97"/>
      <c r="F530" s="97" t="s">
        <v>1764</v>
      </c>
      <c r="G530" s="132" t="str">
        <f t="shared" si="62"/>
        <v>23/5/2008</v>
      </c>
      <c r="H530" s="245">
        <v>23</v>
      </c>
      <c r="I530" s="245">
        <v>5</v>
      </c>
      <c r="J530" s="245">
        <v>2008</v>
      </c>
      <c r="K530" s="245" t="s">
        <v>1817</v>
      </c>
      <c r="L530" s="97"/>
      <c r="M530" s="245" t="s">
        <v>796</v>
      </c>
      <c r="N530" s="349">
        <v>23.2</v>
      </c>
      <c r="O530" s="349"/>
      <c r="Q530" s="245">
        <v>10</v>
      </c>
      <c r="R530" s="30">
        <f t="shared" si="63"/>
        <v>0.18499999999999997</v>
      </c>
      <c r="S530" s="5">
        <v>16.834999999999997</v>
      </c>
      <c r="T530" s="313">
        <f t="shared" si="64"/>
        <v>17.019999999999996</v>
      </c>
      <c r="U530" s="15">
        <f t="shared" si="65"/>
        <v>0.18499999999999872</v>
      </c>
      <c r="V530" s="313">
        <f t="shared" si="66"/>
        <v>6.1800000000000033</v>
      </c>
      <c r="W530" s="245">
        <v>11040</v>
      </c>
      <c r="X530" s="312"/>
      <c r="Y530" s="313"/>
      <c r="Z530" s="114">
        <f t="shared" si="67"/>
        <v>92</v>
      </c>
    </row>
    <row r="531" spans="1:26" s="245" customFormat="1" x14ac:dyDescent="0.25">
      <c r="A531" s="245" t="s">
        <v>1917</v>
      </c>
      <c r="B531" s="245" t="s">
        <v>1872</v>
      </c>
      <c r="E531" s="97"/>
      <c r="F531" s="97" t="s">
        <v>1764</v>
      </c>
      <c r="G531" s="132" t="str">
        <f t="shared" si="62"/>
        <v>23/5/2008</v>
      </c>
      <c r="H531" s="245">
        <v>23</v>
      </c>
      <c r="I531" s="245">
        <v>5</v>
      </c>
      <c r="J531" s="245">
        <v>2008</v>
      </c>
      <c r="K531" s="245" t="s">
        <v>1817</v>
      </c>
      <c r="L531" s="97"/>
      <c r="M531" s="245" t="s">
        <v>796</v>
      </c>
      <c r="N531" s="349">
        <v>23.2</v>
      </c>
      <c r="O531" s="349"/>
      <c r="Q531" s="245">
        <v>10</v>
      </c>
      <c r="R531" s="30">
        <f t="shared" si="63"/>
        <v>0.18499999999999997</v>
      </c>
      <c r="S531" s="5">
        <v>16.834999999999997</v>
      </c>
      <c r="T531" s="313">
        <f t="shared" si="64"/>
        <v>17.019999999999996</v>
      </c>
      <c r="U531" s="15">
        <f t="shared" si="65"/>
        <v>0.18499999999999872</v>
      </c>
      <c r="V531" s="313">
        <f t="shared" si="66"/>
        <v>6.1800000000000033</v>
      </c>
      <c r="W531" s="245">
        <v>11040</v>
      </c>
      <c r="X531" s="312"/>
      <c r="Y531" s="313"/>
      <c r="Z531" s="114">
        <f t="shared" si="67"/>
        <v>92</v>
      </c>
    </row>
    <row r="532" spans="1:26" s="245" customFormat="1" x14ac:dyDescent="0.25">
      <c r="A532" s="245" t="s">
        <v>1918</v>
      </c>
      <c r="B532" s="245" t="s">
        <v>1872</v>
      </c>
      <c r="E532" s="97"/>
      <c r="F532" s="97" t="s">
        <v>1764</v>
      </c>
      <c r="G532" s="132" t="str">
        <f t="shared" si="62"/>
        <v>23/5/2008</v>
      </c>
      <c r="H532" s="245">
        <v>23</v>
      </c>
      <c r="I532" s="245">
        <v>5</v>
      </c>
      <c r="J532" s="245">
        <v>2008</v>
      </c>
      <c r="K532" s="245" t="s">
        <v>1817</v>
      </c>
      <c r="L532" s="97"/>
      <c r="M532" s="245" t="s">
        <v>796</v>
      </c>
      <c r="N532" s="349">
        <v>23.2</v>
      </c>
      <c r="O532" s="349"/>
      <c r="Q532" s="245">
        <v>10</v>
      </c>
      <c r="R532" s="30">
        <f t="shared" si="63"/>
        <v>0.18499999999999997</v>
      </c>
      <c r="S532" s="5">
        <v>16.834999999999997</v>
      </c>
      <c r="T532" s="313">
        <f t="shared" si="64"/>
        <v>17.019999999999996</v>
      </c>
      <c r="U532" s="15">
        <f t="shared" si="65"/>
        <v>0.18499999999999872</v>
      </c>
      <c r="V532" s="313">
        <f t="shared" si="66"/>
        <v>6.1800000000000033</v>
      </c>
      <c r="W532" s="245">
        <v>11040</v>
      </c>
      <c r="X532" s="312"/>
      <c r="Y532" s="313"/>
      <c r="Z532" s="114">
        <f t="shared" si="67"/>
        <v>92</v>
      </c>
    </row>
    <row r="533" spans="1:26" s="245" customFormat="1" x14ac:dyDescent="0.25">
      <c r="A533" s="245" t="s">
        <v>1919</v>
      </c>
      <c r="B533" s="245" t="s">
        <v>1872</v>
      </c>
      <c r="E533" s="97"/>
      <c r="F533" s="97" t="s">
        <v>1764</v>
      </c>
      <c r="G533" s="132" t="str">
        <f t="shared" si="62"/>
        <v>23/5/2008</v>
      </c>
      <c r="H533" s="245">
        <v>23</v>
      </c>
      <c r="I533" s="245">
        <v>5</v>
      </c>
      <c r="J533" s="245">
        <v>2008</v>
      </c>
      <c r="K533" s="245" t="s">
        <v>1817</v>
      </c>
      <c r="L533" s="97"/>
      <c r="M533" s="245" t="s">
        <v>796</v>
      </c>
      <c r="N533" s="349">
        <v>23.2</v>
      </c>
      <c r="O533" s="349"/>
      <c r="Q533" s="245">
        <v>10</v>
      </c>
      <c r="R533" s="30">
        <f t="shared" si="63"/>
        <v>0.18499999999999997</v>
      </c>
      <c r="S533" s="5">
        <v>16.834999999999997</v>
      </c>
      <c r="T533" s="313">
        <f t="shared" si="64"/>
        <v>17.019999999999996</v>
      </c>
      <c r="U533" s="15">
        <f t="shared" si="65"/>
        <v>0.18499999999999872</v>
      </c>
      <c r="V533" s="313">
        <f t="shared" si="66"/>
        <v>6.1800000000000033</v>
      </c>
      <c r="W533" s="245">
        <v>11040</v>
      </c>
      <c r="X533" s="312"/>
      <c r="Y533" s="313"/>
      <c r="Z533" s="114">
        <f t="shared" si="67"/>
        <v>92</v>
      </c>
    </row>
    <row r="534" spans="1:26" s="245" customFormat="1" x14ac:dyDescent="0.25">
      <c r="A534" s="245" t="s">
        <v>1920</v>
      </c>
      <c r="B534" s="245" t="s">
        <v>1872</v>
      </c>
      <c r="E534" s="97"/>
      <c r="F534" s="97" t="s">
        <v>1764</v>
      </c>
      <c r="G534" s="132" t="str">
        <f t="shared" si="62"/>
        <v>23/5/2008</v>
      </c>
      <c r="H534" s="245">
        <v>23</v>
      </c>
      <c r="I534" s="245">
        <v>5</v>
      </c>
      <c r="J534" s="245">
        <v>2008</v>
      </c>
      <c r="K534" s="245" t="s">
        <v>1817</v>
      </c>
      <c r="L534" s="97"/>
      <c r="M534" s="245" t="s">
        <v>796</v>
      </c>
      <c r="N534" s="349">
        <v>23.2</v>
      </c>
      <c r="O534" s="349"/>
      <c r="Q534" s="245">
        <v>10</v>
      </c>
      <c r="R534" s="30">
        <f t="shared" si="63"/>
        <v>0.18499999999999997</v>
      </c>
      <c r="S534" s="5">
        <v>16.834999999999997</v>
      </c>
      <c r="T534" s="313">
        <f t="shared" si="64"/>
        <v>17.019999999999996</v>
      </c>
      <c r="U534" s="15">
        <f t="shared" si="65"/>
        <v>0.18499999999999872</v>
      </c>
      <c r="V534" s="313">
        <f t="shared" si="66"/>
        <v>6.1800000000000033</v>
      </c>
      <c r="W534" s="245">
        <v>11040</v>
      </c>
      <c r="X534" s="312"/>
      <c r="Y534" s="313"/>
      <c r="Z534" s="114">
        <f t="shared" si="67"/>
        <v>92</v>
      </c>
    </row>
    <row r="535" spans="1:26" s="245" customFormat="1" x14ac:dyDescent="0.25">
      <c r="A535" s="245" t="s">
        <v>1921</v>
      </c>
      <c r="B535" s="245" t="s">
        <v>1872</v>
      </c>
      <c r="E535" s="97"/>
      <c r="F535" s="97" t="s">
        <v>1764</v>
      </c>
      <c r="G535" s="132" t="str">
        <f t="shared" si="62"/>
        <v>23/5/2008</v>
      </c>
      <c r="H535" s="245">
        <v>23</v>
      </c>
      <c r="I535" s="245">
        <v>5</v>
      </c>
      <c r="J535" s="245">
        <v>2008</v>
      </c>
      <c r="K535" s="245" t="s">
        <v>1817</v>
      </c>
      <c r="L535" s="97"/>
      <c r="M535" s="245" t="s">
        <v>796</v>
      </c>
      <c r="N535" s="349">
        <v>23.2</v>
      </c>
      <c r="O535" s="349"/>
      <c r="Q535" s="245">
        <v>10</v>
      </c>
      <c r="R535" s="30">
        <f t="shared" si="63"/>
        <v>0.18499999999999997</v>
      </c>
      <c r="S535" s="5">
        <v>16.834999999999997</v>
      </c>
      <c r="T535" s="313">
        <f t="shared" si="64"/>
        <v>17.019999999999996</v>
      </c>
      <c r="U535" s="15">
        <f t="shared" si="65"/>
        <v>0.18499999999999872</v>
      </c>
      <c r="V535" s="313">
        <f t="shared" si="66"/>
        <v>6.1800000000000033</v>
      </c>
      <c r="W535" s="245">
        <v>11040</v>
      </c>
      <c r="X535" s="312"/>
      <c r="Y535" s="313"/>
      <c r="Z535" s="114">
        <f t="shared" si="67"/>
        <v>92</v>
      </c>
    </row>
    <row r="536" spans="1:26" s="245" customFormat="1" x14ac:dyDescent="0.25">
      <c r="A536" s="245" t="s">
        <v>1922</v>
      </c>
      <c r="B536" s="245" t="s">
        <v>1872</v>
      </c>
      <c r="E536" s="97"/>
      <c r="F536" s="97" t="s">
        <v>1764</v>
      </c>
      <c r="G536" s="132" t="str">
        <f t="shared" si="62"/>
        <v>23/5/2008</v>
      </c>
      <c r="H536" s="245">
        <v>23</v>
      </c>
      <c r="I536" s="245">
        <v>5</v>
      </c>
      <c r="J536" s="245">
        <v>2008</v>
      </c>
      <c r="K536" s="245" t="s">
        <v>1817</v>
      </c>
      <c r="L536" s="97"/>
      <c r="M536" s="245" t="s">
        <v>796</v>
      </c>
      <c r="N536" s="349">
        <v>23.2</v>
      </c>
      <c r="O536" s="349"/>
      <c r="Q536" s="245">
        <v>10</v>
      </c>
      <c r="R536" s="30">
        <f t="shared" si="63"/>
        <v>0.18499999999999997</v>
      </c>
      <c r="S536" s="5">
        <v>16.834999999999997</v>
      </c>
      <c r="T536" s="313">
        <f t="shared" si="64"/>
        <v>17.019999999999996</v>
      </c>
      <c r="U536" s="15">
        <f t="shared" si="65"/>
        <v>0.18499999999999872</v>
      </c>
      <c r="V536" s="313">
        <f t="shared" si="66"/>
        <v>6.1800000000000033</v>
      </c>
      <c r="W536" s="245">
        <v>11040</v>
      </c>
      <c r="X536" s="312"/>
      <c r="Y536" s="313"/>
      <c r="Z536" s="114">
        <f t="shared" si="67"/>
        <v>92</v>
      </c>
    </row>
    <row r="537" spans="1:26" s="245" customFormat="1" x14ac:dyDescent="0.25">
      <c r="A537" s="245" t="s">
        <v>1923</v>
      </c>
      <c r="B537" s="245" t="s">
        <v>1872</v>
      </c>
      <c r="E537" s="97"/>
      <c r="F537" s="97" t="s">
        <v>1764</v>
      </c>
      <c r="G537" s="132" t="str">
        <f t="shared" si="62"/>
        <v>23/5/2008</v>
      </c>
      <c r="H537" s="245">
        <v>23</v>
      </c>
      <c r="I537" s="245">
        <v>5</v>
      </c>
      <c r="J537" s="245">
        <v>2008</v>
      </c>
      <c r="K537" s="245" t="s">
        <v>1817</v>
      </c>
      <c r="L537" s="97"/>
      <c r="M537" s="245" t="s">
        <v>796</v>
      </c>
      <c r="N537" s="349">
        <v>23.2</v>
      </c>
      <c r="O537" s="349"/>
      <c r="Q537" s="245">
        <v>10</v>
      </c>
      <c r="R537" s="30">
        <f t="shared" si="63"/>
        <v>0.18499999999999997</v>
      </c>
      <c r="S537" s="5">
        <v>16.834999999999997</v>
      </c>
      <c r="T537" s="313">
        <f t="shared" si="64"/>
        <v>17.019999999999996</v>
      </c>
      <c r="U537" s="15">
        <f t="shared" si="65"/>
        <v>0.18499999999999872</v>
      </c>
      <c r="V537" s="313">
        <f t="shared" si="66"/>
        <v>6.1800000000000033</v>
      </c>
      <c r="W537" s="245">
        <v>11040</v>
      </c>
      <c r="X537" s="312"/>
      <c r="Y537" s="313"/>
      <c r="Z537" s="114">
        <f t="shared" si="67"/>
        <v>92</v>
      </c>
    </row>
    <row r="538" spans="1:26" s="245" customFormat="1" x14ac:dyDescent="0.25">
      <c r="A538" s="245" t="s">
        <v>1924</v>
      </c>
      <c r="B538" s="245" t="s">
        <v>1872</v>
      </c>
      <c r="E538" s="97"/>
      <c r="F538" s="97" t="s">
        <v>1764</v>
      </c>
      <c r="G538" s="132" t="str">
        <f t="shared" si="62"/>
        <v>23/5/2008</v>
      </c>
      <c r="H538" s="245">
        <v>23</v>
      </c>
      <c r="I538" s="245">
        <v>5</v>
      </c>
      <c r="J538" s="245">
        <v>2008</v>
      </c>
      <c r="K538" s="245" t="s">
        <v>1817</v>
      </c>
      <c r="L538" s="97"/>
      <c r="M538" s="245" t="s">
        <v>796</v>
      </c>
      <c r="N538" s="349">
        <v>23.2</v>
      </c>
      <c r="O538" s="349"/>
      <c r="Q538" s="245">
        <v>10</v>
      </c>
      <c r="R538" s="30">
        <f t="shared" si="63"/>
        <v>0.18499999999999997</v>
      </c>
      <c r="S538" s="5">
        <v>16.834999999999997</v>
      </c>
      <c r="T538" s="313">
        <f t="shared" si="64"/>
        <v>17.019999999999996</v>
      </c>
      <c r="U538" s="15">
        <f t="shared" si="65"/>
        <v>0.18499999999999872</v>
      </c>
      <c r="V538" s="313">
        <f t="shared" si="66"/>
        <v>6.1800000000000033</v>
      </c>
      <c r="W538" s="245">
        <v>11040</v>
      </c>
      <c r="X538" s="312"/>
      <c r="Y538" s="313"/>
      <c r="Z538" s="114">
        <f t="shared" si="67"/>
        <v>92</v>
      </c>
    </row>
    <row r="539" spans="1:26" s="245" customFormat="1" x14ac:dyDescent="0.25">
      <c r="A539" s="245" t="s">
        <v>1925</v>
      </c>
      <c r="B539" s="245" t="s">
        <v>1872</v>
      </c>
      <c r="E539" s="97"/>
      <c r="F539" s="97" t="s">
        <v>1764</v>
      </c>
      <c r="G539" s="132" t="str">
        <f t="shared" si="62"/>
        <v>23/5/2008</v>
      </c>
      <c r="H539" s="245">
        <v>23</v>
      </c>
      <c r="I539" s="245">
        <v>5</v>
      </c>
      <c r="J539" s="245">
        <v>2008</v>
      </c>
      <c r="K539" s="245" t="s">
        <v>1817</v>
      </c>
      <c r="L539" s="97"/>
      <c r="M539" s="245" t="s">
        <v>796</v>
      </c>
      <c r="N539" s="349">
        <v>23.2</v>
      </c>
      <c r="O539" s="349"/>
      <c r="Q539" s="245">
        <v>10</v>
      </c>
      <c r="R539" s="30">
        <f t="shared" si="63"/>
        <v>0.18499999999999997</v>
      </c>
      <c r="S539" s="5">
        <v>16.834999999999997</v>
      </c>
      <c r="T539" s="313">
        <f t="shared" si="64"/>
        <v>17.019999999999996</v>
      </c>
      <c r="U539" s="15">
        <f t="shared" si="65"/>
        <v>0.18499999999999872</v>
      </c>
      <c r="V539" s="313">
        <f t="shared" si="66"/>
        <v>6.1800000000000033</v>
      </c>
      <c r="W539" s="245">
        <v>11040</v>
      </c>
      <c r="X539" s="312"/>
      <c r="Y539" s="313"/>
      <c r="Z539" s="114">
        <f t="shared" si="67"/>
        <v>92</v>
      </c>
    </row>
    <row r="540" spans="1:26" s="245" customFormat="1" x14ac:dyDescent="0.25">
      <c r="A540" s="245" t="s">
        <v>1926</v>
      </c>
      <c r="B540" s="245" t="s">
        <v>1872</v>
      </c>
      <c r="E540" s="97"/>
      <c r="F540" s="97" t="s">
        <v>1764</v>
      </c>
      <c r="G540" s="132" t="str">
        <f t="shared" si="62"/>
        <v>23/5/2008</v>
      </c>
      <c r="H540" s="245">
        <v>23</v>
      </c>
      <c r="I540" s="245">
        <v>5</v>
      </c>
      <c r="J540" s="245">
        <v>2008</v>
      </c>
      <c r="K540" s="245" t="s">
        <v>1817</v>
      </c>
      <c r="L540" s="97"/>
      <c r="M540" s="245" t="s">
        <v>796</v>
      </c>
      <c r="N540" s="349">
        <v>23.2</v>
      </c>
      <c r="O540" s="349"/>
      <c r="Q540" s="245">
        <v>10</v>
      </c>
      <c r="R540" s="30">
        <f t="shared" si="63"/>
        <v>0.18499999999999997</v>
      </c>
      <c r="S540" s="5">
        <v>16.834999999999997</v>
      </c>
      <c r="T540" s="313">
        <f t="shared" si="64"/>
        <v>17.019999999999996</v>
      </c>
      <c r="U540" s="15">
        <f t="shared" si="65"/>
        <v>0.18499999999999872</v>
      </c>
      <c r="V540" s="313">
        <f t="shared" si="66"/>
        <v>6.1800000000000033</v>
      </c>
      <c r="W540" s="245">
        <v>11040</v>
      </c>
      <c r="X540" s="312"/>
      <c r="Y540" s="313"/>
      <c r="Z540" s="114">
        <f t="shared" si="67"/>
        <v>92</v>
      </c>
    </row>
    <row r="541" spans="1:26" s="245" customFormat="1" x14ac:dyDescent="0.25">
      <c r="A541" s="245" t="s">
        <v>1927</v>
      </c>
      <c r="B541" s="245" t="s">
        <v>1872</v>
      </c>
      <c r="E541" s="97"/>
      <c r="F541" s="97" t="s">
        <v>1764</v>
      </c>
      <c r="G541" s="132" t="str">
        <f t="shared" si="62"/>
        <v>23/5/2008</v>
      </c>
      <c r="H541" s="245">
        <v>23</v>
      </c>
      <c r="I541" s="245">
        <v>5</v>
      </c>
      <c r="J541" s="245">
        <v>2008</v>
      </c>
      <c r="K541" s="245" t="s">
        <v>1817</v>
      </c>
      <c r="L541" s="97"/>
      <c r="M541" s="245" t="s">
        <v>796</v>
      </c>
      <c r="N541" s="349">
        <v>23.2</v>
      </c>
      <c r="O541" s="349"/>
      <c r="Q541" s="245">
        <v>10</v>
      </c>
      <c r="R541" s="30">
        <f t="shared" si="63"/>
        <v>0.18499999999999997</v>
      </c>
      <c r="S541" s="5">
        <v>16.834999999999997</v>
      </c>
      <c r="T541" s="313">
        <f t="shared" si="64"/>
        <v>17.019999999999996</v>
      </c>
      <c r="U541" s="15">
        <f t="shared" si="65"/>
        <v>0.18499999999999872</v>
      </c>
      <c r="V541" s="313">
        <f t="shared" si="66"/>
        <v>6.1800000000000033</v>
      </c>
      <c r="W541" s="245">
        <v>11040</v>
      </c>
      <c r="X541" s="312"/>
      <c r="Y541" s="313"/>
      <c r="Z541" s="114">
        <f t="shared" si="67"/>
        <v>92</v>
      </c>
    </row>
    <row r="542" spans="1:26" s="245" customFormat="1" x14ac:dyDescent="0.25">
      <c r="A542" s="245" t="s">
        <v>1928</v>
      </c>
      <c r="B542" s="245" t="s">
        <v>1872</v>
      </c>
      <c r="E542" s="97"/>
      <c r="F542" s="97" t="s">
        <v>1764</v>
      </c>
      <c r="G542" s="132" t="str">
        <f t="shared" si="62"/>
        <v>23/5/2008</v>
      </c>
      <c r="H542" s="245">
        <v>23</v>
      </c>
      <c r="I542" s="245">
        <v>5</v>
      </c>
      <c r="J542" s="245">
        <v>2008</v>
      </c>
      <c r="K542" s="245" t="s">
        <v>1817</v>
      </c>
      <c r="L542" s="97"/>
      <c r="M542" s="245" t="s">
        <v>796</v>
      </c>
      <c r="N542" s="349">
        <v>23.2</v>
      </c>
      <c r="O542" s="349"/>
      <c r="Q542" s="245">
        <v>10</v>
      </c>
      <c r="R542" s="30">
        <f t="shared" si="63"/>
        <v>0.18499999999999997</v>
      </c>
      <c r="S542" s="5">
        <v>16.834999999999997</v>
      </c>
      <c r="T542" s="313">
        <f t="shared" si="64"/>
        <v>17.019999999999996</v>
      </c>
      <c r="U542" s="15">
        <f t="shared" si="65"/>
        <v>0.18499999999999872</v>
      </c>
      <c r="V542" s="313">
        <f t="shared" si="66"/>
        <v>6.1800000000000033</v>
      </c>
      <c r="W542" s="245">
        <v>11040</v>
      </c>
      <c r="X542" s="312"/>
      <c r="Y542" s="313"/>
      <c r="Z542" s="114">
        <f t="shared" si="67"/>
        <v>92</v>
      </c>
    </row>
    <row r="543" spans="1:26" s="245" customFormat="1" x14ac:dyDescent="0.25">
      <c r="A543" s="245" t="s">
        <v>1929</v>
      </c>
      <c r="B543" s="245" t="s">
        <v>1872</v>
      </c>
      <c r="E543" s="97"/>
      <c r="F543" s="97" t="s">
        <v>1764</v>
      </c>
      <c r="G543" s="132" t="str">
        <f t="shared" ref="G543:G605" si="68">CONCATENATE(H543,"/",I543,"/",J543,)</f>
        <v>23/5/2008</v>
      </c>
      <c r="H543" s="245">
        <v>23</v>
      </c>
      <c r="I543" s="245">
        <v>5</v>
      </c>
      <c r="J543" s="245">
        <v>2008</v>
      </c>
      <c r="K543" s="245" t="s">
        <v>1817</v>
      </c>
      <c r="L543" s="97"/>
      <c r="M543" s="245" t="s">
        <v>796</v>
      </c>
      <c r="N543" s="349">
        <v>23.2</v>
      </c>
      <c r="O543" s="349"/>
      <c r="Q543" s="245">
        <v>10</v>
      </c>
      <c r="R543" s="30">
        <f t="shared" ref="R543:R605" si="69">(((N543)-1)/10)/12</f>
        <v>0.18499999999999997</v>
      </c>
      <c r="S543" s="5">
        <v>16.834999999999997</v>
      </c>
      <c r="T543" s="313">
        <f t="shared" ref="T543:T605" si="70">Z543*R543</f>
        <v>17.019999999999996</v>
      </c>
      <c r="U543" s="15">
        <f t="shared" ref="U543:U605" si="71">T543-S543</f>
        <v>0.18499999999999872</v>
      </c>
      <c r="V543" s="313">
        <f t="shared" ref="V543:V605" si="72">N543-T543</f>
        <v>6.1800000000000033</v>
      </c>
      <c r="W543" s="245">
        <v>11040</v>
      </c>
      <c r="X543" s="312"/>
      <c r="Y543" s="313"/>
      <c r="Z543" s="114">
        <f t="shared" ref="Z543:Z605" si="73">IF((DATEDIF(G543,Z$4,"m"))&gt;=120,120,(DATEDIF(G543,Z$4,"m")))</f>
        <v>92</v>
      </c>
    </row>
    <row r="544" spans="1:26" s="245" customFormat="1" x14ac:dyDescent="0.25">
      <c r="A544" s="245" t="s">
        <v>1930</v>
      </c>
      <c r="B544" s="245" t="s">
        <v>1872</v>
      </c>
      <c r="E544" s="97"/>
      <c r="F544" s="97" t="s">
        <v>1764</v>
      </c>
      <c r="G544" s="132" t="str">
        <f t="shared" si="68"/>
        <v>23/5/2008</v>
      </c>
      <c r="H544" s="245">
        <v>23</v>
      </c>
      <c r="I544" s="245">
        <v>5</v>
      </c>
      <c r="J544" s="245">
        <v>2008</v>
      </c>
      <c r="K544" s="245" t="s">
        <v>1817</v>
      </c>
      <c r="L544" s="97"/>
      <c r="M544" s="245" t="s">
        <v>796</v>
      </c>
      <c r="N544" s="349">
        <v>23.2</v>
      </c>
      <c r="O544" s="349"/>
      <c r="Q544" s="245">
        <v>10</v>
      </c>
      <c r="R544" s="30">
        <f t="shared" si="69"/>
        <v>0.18499999999999997</v>
      </c>
      <c r="S544" s="5">
        <v>16.834999999999997</v>
      </c>
      <c r="T544" s="313">
        <f t="shared" si="70"/>
        <v>17.019999999999996</v>
      </c>
      <c r="U544" s="15">
        <f t="shared" si="71"/>
        <v>0.18499999999999872</v>
      </c>
      <c r="V544" s="313">
        <f t="shared" si="72"/>
        <v>6.1800000000000033</v>
      </c>
      <c r="W544" s="245">
        <v>11040</v>
      </c>
      <c r="X544" s="312"/>
      <c r="Y544" s="313"/>
      <c r="Z544" s="114">
        <f t="shared" si="73"/>
        <v>92</v>
      </c>
    </row>
    <row r="545" spans="1:26" s="245" customFormat="1" x14ac:dyDescent="0.25">
      <c r="A545" s="245" t="s">
        <v>1931</v>
      </c>
      <c r="B545" s="245" t="s">
        <v>1872</v>
      </c>
      <c r="E545" s="97"/>
      <c r="F545" s="97" t="s">
        <v>1764</v>
      </c>
      <c r="G545" s="132" t="str">
        <f t="shared" si="68"/>
        <v>23/5/2008</v>
      </c>
      <c r="H545" s="245">
        <v>23</v>
      </c>
      <c r="I545" s="245">
        <v>5</v>
      </c>
      <c r="J545" s="245">
        <v>2008</v>
      </c>
      <c r="K545" s="245" t="s">
        <v>1817</v>
      </c>
      <c r="L545" s="97"/>
      <c r="M545" s="245" t="s">
        <v>796</v>
      </c>
      <c r="N545" s="349">
        <v>23.2</v>
      </c>
      <c r="O545" s="349"/>
      <c r="Q545" s="245">
        <v>10</v>
      </c>
      <c r="R545" s="30">
        <f t="shared" si="69"/>
        <v>0.18499999999999997</v>
      </c>
      <c r="S545" s="5">
        <v>16.834999999999997</v>
      </c>
      <c r="T545" s="313">
        <f t="shared" si="70"/>
        <v>17.019999999999996</v>
      </c>
      <c r="U545" s="15">
        <f t="shared" si="71"/>
        <v>0.18499999999999872</v>
      </c>
      <c r="V545" s="313">
        <f t="shared" si="72"/>
        <v>6.1800000000000033</v>
      </c>
      <c r="W545" s="245">
        <v>11040</v>
      </c>
      <c r="X545" s="312"/>
      <c r="Y545" s="313"/>
      <c r="Z545" s="114">
        <f t="shared" si="73"/>
        <v>92</v>
      </c>
    </row>
    <row r="546" spans="1:26" s="245" customFormat="1" x14ac:dyDescent="0.25">
      <c r="A546" s="245" t="s">
        <v>1932</v>
      </c>
      <c r="B546" s="245" t="s">
        <v>1872</v>
      </c>
      <c r="E546" s="97"/>
      <c r="F546" s="97" t="s">
        <v>1764</v>
      </c>
      <c r="G546" s="132" t="str">
        <f t="shared" si="68"/>
        <v>23/5/2008</v>
      </c>
      <c r="H546" s="245">
        <v>23</v>
      </c>
      <c r="I546" s="245">
        <v>5</v>
      </c>
      <c r="J546" s="245">
        <v>2008</v>
      </c>
      <c r="K546" s="245" t="s">
        <v>1817</v>
      </c>
      <c r="L546" s="97"/>
      <c r="M546" s="245" t="s">
        <v>796</v>
      </c>
      <c r="N546" s="349">
        <v>23.2</v>
      </c>
      <c r="O546" s="349"/>
      <c r="Q546" s="245">
        <v>10</v>
      </c>
      <c r="R546" s="30">
        <f t="shared" si="69"/>
        <v>0.18499999999999997</v>
      </c>
      <c r="S546" s="5">
        <v>16.834999999999997</v>
      </c>
      <c r="T546" s="313">
        <f t="shared" si="70"/>
        <v>17.019999999999996</v>
      </c>
      <c r="U546" s="15">
        <f t="shared" si="71"/>
        <v>0.18499999999999872</v>
      </c>
      <c r="V546" s="313">
        <f t="shared" si="72"/>
        <v>6.1800000000000033</v>
      </c>
      <c r="W546" s="245">
        <v>11040</v>
      </c>
      <c r="X546" s="312"/>
      <c r="Y546" s="313"/>
      <c r="Z546" s="114">
        <f t="shared" si="73"/>
        <v>92</v>
      </c>
    </row>
    <row r="547" spans="1:26" s="245" customFormat="1" x14ac:dyDescent="0.25">
      <c r="A547" s="245" t="s">
        <v>1933</v>
      </c>
      <c r="B547" s="245" t="s">
        <v>1872</v>
      </c>
      <c r="E547" s="97"/>
      <c r="F547" s="97" t="s">
        <v>1764</v>
      </c>
      <c r="G547" s="132" t="str">
        <f t="shared" si="68"/>
        <v>23/5/2008</v>
      </c>
      <c r="H547" s="245">
        <v>23</v>
      </c>
      <c r="I547" s="245">
        <v>5</v>
      </c>
      <c r="J547" s="245">
        <v>2008</v>
      </c>
      <c r="K547" s="245" t="s">
        <v>1817</v>
      </c>
      <c r="L547" s="97"/>
      <c r="M547" s="245" t="s">
        <v>796</v>
      </c>
      <c r="N547" s="349">
        <v>23.2</v>
      </c>
      <c r="O547" s="349"/>
      <c r="Q547" s="245">
        <v>10</v>
      </c>
      <c r="R547" s="30">
        <f t="shared" si="69"/>
        <v>0.18499999999999997</v>
      </c>
      <c r="S547" s="5">
        <v>16.834999999999997</v>
      </c>
      <c r="T547" s="313">
        <f t="shared" si="70"/>
        <v>17.019999999999996</v>
      </c>
      <c r="U547" s="15">
        <f t="shared" si="71"/>
        <v>0.18499999999999872</v>
      </c>
      <c r="V547" s="313">
        <f t="shared" si="72"/>
        <v>6.1800000000000033</v>
      </c>
      <c r="W547" s="245">
        <v>11040</v>
      </c>
      <c r="X547" s="312"/>
      <c r="Y547" s="313"/>
      <c r="Z547" s="114">
        <f t="shared" si="73"/>
        <v>92</v>
      </c>
    </row>
    <row r="548" spans="1:26" s="245" customFormat="1" x14ac:dyDescent="0.25">
      <c r="A548" s="245" t="s">
        <v>1934</v>
      </c>
      <c r="B548" s="245" t="s">
        <v>1872</v>
      </c>
      <c r="E548" s="97"/>
      <c r="F548" s="97" t="s">
        <v>1764</v>
      </c>
      <c r="G548" s="132" t="str">
        <f t="shared" si="68"/>
        <v>23/5/2008</v>
      </c>
      <c r="H548" s="245">
        <v>23</v>
      </c>
      <c r="I548" s="245">
        <v>5</v>
      </c>
      <c r="J548" s="245">
        <v>2008</v>
      </c>
      <c r="K548" s="245" t="s">
        <v>1817</v>
      </c>
      <c r="L548" s="97"/>
      <c r="M548" s="245" t="s">
        <v>796</v>
      </c>
      <c r="N548" s="349">
        <v>23.2</v>
      </c>
      <c r="O548" s="349"/>
      <c r="Q548" s="245">
        <v>10</v>
      </c>
      <c r="R548" s="30">
        <f t="shared" si="69"/>
        <v>0.18499999999999997</v>
      </c>
      <c r="S548" s="5">
        <v>16.834999999999997</v>
      </c>
      <c r="T548" s="313">
        <f t="shared" si="70"/>
        <v>17.019999999999996</v>
      </c>
      <c r="U548" s="15">
        <f t="shared" si="71"/>
        <v>0.18499999999999872</v>
      </c>
      <c r="V548" s="313">
        <f t="shared" si="72"/>
        <v>6.1800000000000033</v>
      </c>
      <c r="W548" s="245">
        <v>11040</v>
      </c>
      <c r="X548" s="312"/>
      <c r="Y548" s="313"/>
      <c r="Z548" s="114">
        <f t="shared" si="73"/>
        <v>92</v>
      </c>
    </row>
    <row r="549" spans="1:26" s="245" customFormat="1" x14ac:dyDescent="0.25">
      <c r="A549" s="245" t="s">
        <v>1935</v>
      </c>
      <c r="B549" s="245" t="s">
        <v>1872</v>
      </c>
      <c r="E549" s="97"/>
      <c r="F549" s="97" t="s">
        <v>1764</v>
      </c>
      <c r="G549" s="132" t="str">
        <f t="shared" si="68"/>
        <v>23/5/2008</v>
      </c>
      <c r="H549" s="245">
        <v>23</v>
      </c>
      <c r="I549" s="245">
        <v>5</v>
      </c>
      <c r="J549" s="245">
        <v>2008</v>
      </c>
      <c r="K549" s="245" t="s">
        <v>1817</v>
      </c>
      <c r="L549" s="97"/>
      <c r="M549" s="245" t="s">
        <v>796</v>
      </c>
      <c r="N549" s="349">
        <v>23.2</v>
      </c>
      <c r="O549" s="349"/>
      <c r="Q549" s="245">
        <v>10</v>
      </c>
      <c r="R549" s="30">
        <f t="shared" si="69"/>
        <v>0.18499999999999997</v>
      </c>
      <c r="S549" s="5">
        <v>16.834999999999997</v>
      </c>
      <c r="T549" s="313">
        <f t="shared" si="70"/>
        <v>17.019999999999996</v>
      </c>
      <c r="U549" s="15">
        <f t="shared" si="71"/>
        <v>0.18499999999999872</v>
      </c>
      <c r="V549" s="313">
        <f t="shared" si="72"/>
        <v>6.1800000000000033</v>
      </c>
      <c r="W549" s="245">
        <v>11040</v>
      </c>
      <c r="X549" s="312"/>
      <c r="Y549" s="313"/>
      <c r="Z549" s="114">
        <f t="shared" si="73"/>
        <v>92</v>
      </c>
    </row>
    <row r="550" spans="1:26" s="245" customFormat="1" x14ac:dyDescent="0.25">
      <c r="A550" s="245" t="s">
        <v>1936</v>
      </c>
      <c r="B550" s="245" t="s">
        <v>1937</v>
      </c>
      <c r="E550" s="97"/>
      <c r="F550" s="97"/>
      <c r="G550" s="132" t="str">
        <f t="shared" si="68"/>
        <v>23/5/2008</v>
      </c>
      <c r="H550" s="245">
        <v>23</v>
      </c>
      <c r="I550" s="245">
        <v>5</v>
      </c>
      <c r="J550" s="245">
        <v>2008</v>
      </c>
      <c r="K550" s="245" t="s">
        <v>1817</v>
      </c>
      <c r="L550" s="97"/>
      <c r="M550" s="245" t="s">
        <v>796</v>
      </c>
      <c r="N550" s="349">
        <v>6960</v>
      </c>
      <c r="O550" s="349"/>
      <c r="Q550" s="245">
        <v>10</v>
      </c>
      <c r="R550" s="30">
        <f t="shared" si="69"/>
        <v>57.991666666666667</v>
      </c>
      <c r="S550" s="5">
        <v>5277.2416666666668</v>
      </c>
      <c r="T550" s="313">
        <f t="shared" si="70"/>
        <v>5335.2333333333336</v>
      </c>
      <c r="U550" s="15">
        <f t="shared" si="71"/>
        <v>57.991666666666788</v>
      </c>
      <c r="V550" s="313">
        <f t="shared" si="72"/>
        <v>1624.7666666666664</v>
      </c>
      <c r="W550" s="245">
        <v>11040</v>
      </c>
      <c r="X550" s="312"/>
      <c r="Y550" s="313"/>
      <c r="Z550" s="114">
        <f t="shared" si="73"/>
        <v>92</v>
      </c>
    </row>
    <row r="551" spans="1:26" s="245" customFormat="1" x14ac:dyDescent="0.25">
      <c r="A551" s="245" t="s">
        <v>1938</v>
      </c>
      <c r="B551" s="245" t="s">
        <v>1939</v>
      </c>
      <c r="D551" s="245" t="s">
        <v>1940</v>
      </c>
      <c r="E551" s="97"/>
      <c r="F551" s="97" t="s">
        <v>1764</v>
      </c>
      <c r="G551" s="132" t="str">
        <f t="shared" si="68"/>
        <v>23/5/2008</v>
      </c>
      <c r="H551" s="245">
        <v>23</v>
      </c>
      <c r="I551" s="245">
        <v>5</v>
      </c>
      <c r="J551" s="245">
        <v>2008</v>
      </c>
      <c r="K551" s="245" t="s">
        <v>1817</v>
      </c>
      <c r="L551" s="97"/>
      <c r="M551" s="245" t="s">
        <v>796</v>
      </c>
      <c r="N551" s="349">
        <v>1975.4755</v>
      </c>
      <c r="O551" s="349"/>
      <c r="Q551" s="245">
        <v>10</v>
      </c>
      <c r="R551" s="30">
        <f t="shared" si="69"/>
        <v>16.453962499999999</v>
      </c>
      <c r="S551" s="5">
        <v>1497.3105874999999</v>
      </c>
      <c r="T551" s="313">
        <f t="shared" si="70"/>
        <v>1513.7645499999999</v>
      </c>
      <c r="U551" s="15">
        <f t="shared" si="71"/>
        <v>16.453962499999989</v>
      </c>
      <c r="V551" s="313">
        <f t="shared" si="72"/>
        <v>461.71095000000014</v>
      </c>
      <c r="W551" s="245">
        <v>11040</v>
      </c>
      <c r="X551" s="312"/>
      <c r="Y551" s="313"/>
      <c r="Z551" s="114">
        <f t="shared" si="73"/>
        <v>92</v>
      </c>
    </row>
    <row r="552" spans="1:26" s="245" customFormat="1" x14ac:dyDescent="0.25">
      <c r="A552" s="245" t="s">
        <v>1941</v>
      </c>
      <c r="B552" s="245" t="s">
        <v>1939</v>
      </c>
      <c r="D552" s="245" t="s">
        <v>1940</v>
      </c>
      <c r="E552" s="97"/>
      <c r="F552" s="97" t="s">
        <v>1764</v>
      </c>
      <c r="G552" s="132" t="str">
        <f t="shared" si="68"/>
        <v>23/5/2008</v>
      </c>
      <c r="H552" s="245">
        <v>23</v>
      </c>
      <c r="I552" s="245">
        <v>5</v>
      </c>
      <c r="J552" s="245">
        <v>2008</v>
      </c>
      <c r="K552" s="245" t="s">
        <v>1817</v>
      </c>
      <c r="L552" s="97"/>
      <c r="M552" s="245" t="s">
        <v>796</v>
      </c>
      <c r="N552" s="349">
        <v>1975.4755</v>
      </c>
      <c r="O552" s="349"/>
      <c r="Q552" s="245">
        <v>10</v>
      </c>
      <c r="R552" s="30">
        <f t="shared" si="69"/>
        <v>16.453962499999999</v>
      </c>
      <c r="S552" s="5">
        <v>1497.3105874999999</v>
      </c>
      <c r="T552" s="313">
        <f t="shared" si="70"/>
        <v>1513.7645499999999</v>
      </c>
      <c r="U552" s="15">
        <f t="shared" si="71"/>
        <v>16.453962499999989</v>
      </c>
      <c r="V552" s="313">
        <f t="shared" si="72"/>
        <v>461.71095000000014</v>
      </c>
      <c r="W552" s="245">
        <v>11040</v>
      </c>
      <c r="X552" s="312"/>
      <c r="Y552" s="313"/>
      <c r="Z552" s="114">
        <f t="shared" si="73"/>
        <v>92</v>
      </c>
    </row>
    <row r="553" spans="1:26" s="245" customFormat="1" x14ac:dyDescent="0.25">
      <c r="A553" s="245" t="s">
        <v>1942</v>
      </c>
      <c r="B553" s="245" t="s">
        <v>1939</v>
      </c>
      <c r="D553" s="245" t="s">
        <v>1940</v>
      </c>
      <c r="E553" s="97"/>
      <c r="F553" s="97" t="s">
        <v>1764</v>
      </c>
      <c r="G553" s="132" t="str">
        <f t="shared" si="68"/>
        <v>23/5/2008</v>
      </c>
      <c r="H553" s="245">
        <v>23</v>
      </c>
      <c r="I553" s="245">
        <v>5</v>
      </c>
      <c r="J553" s="245">
        <v>2008</v>
      </c>
      <c r="K553" s="245" t="s">
        <v>1817</v>
      </c>
      <c r="L553" s="97"/>
      <c r="M553" s="245" t="s">
        <v>796</v>
      </c>
      <c r="N553" s="349">
        <v>1975.4755</v>
      </c>
      <c r="O553" s="349"/>
      <c r="Q553" s="245">
        <v>10</v>
      </c>
      <c r="R553" s="30">
        <f t="shared" si="69"/>
        <v>16.453962499999999</v>
      </c>
      <c r="S553" s="5">
        <v>1497.3105874999999</v>
      </c>
      <c r="T553" s="313">
        <f t="shared" si="70"/>
        <v>1513.7645499999999</v>
      </c>
      <c r="U553" s="15">
        <f t="shared" si="71"/>
        <v>16.453962499999989</v>
      </c>
      <c r="V553" s="313">
        <f t="shared" si="72"/>
        <v>461.71095000000014</v>
      </c>
      <c r="W553" s="245">
        <v>11040</v>
      </c>
      <c r="X553" s="312"/>
      <c r="Y553" s="313"/>
      <c r="Z553" s="114">
        <f t="shared" si="73"/>
        <v>92</v>
      </c>
    </row>
    <row r="554" spans="1:26" s="245" customFormat="1" x14ac:dyDescent="0.25">
      <c r="A554" s="245" t="s">
        <v>1943</v>
      </c>
      <c r="B554" s="245" t="s">
        <v>1939</v>
      </c>
      <c r="D554" s="245" t="s">
        <v>1940</v>
      </c>
      <c r="E554" s="97"/>
      <c r="F554" s="97" t="s">
        <v>1764</v>
      </c>
      <c r="G554" s="132" t="str">
        <f t="shared" si="68"/>
        <v>23/5/2008</v>
      </c>
      <c r="H554" s="245">
        <v>23</v>
      </c>
      <c r="I554" s="245">
        <v>5</v>
      </c>
      <c r="J554" s="245">
        <v>2008</v>
      </c>
      <c r="K554" s="245" t="s">
        <v>1817</v>
      </c>
      <c r="L554" s="97"/>
      <c r="M554" s="245" t="s">
        <v>796</v>
      </c>
      <c r="N554" s="349">
        <v>1975.4755</v>
      </c>
      <c r="O554" s="349"/>
      <c r="Q554" s="245">
        <v>10</v>
      </c>
      <c r="R554" s="30">
        <f t="shared" si="69"/>
        <v>16.453962499999999</v>
      </c>
      <c r="S554" s="5">
        <v>1497.3105874999999</v>
      </c>
      <c r="T554" s="313">
        <f t="shared" si="70"/>
        <v>1513.7645499999999</v>
      </c>
      <c r="U554" s="15">
        <f t="shared" si="71"/>
        <v>16.453962499999989</v>
      </c>
      <c r="V554" s="313">
        <f t="shared" si="72"/>
        <v>461.71095000000014</v>
      </c>
      <c r="W554" s="245">
        <v>11040</v>
      </c>
      <c r="X554" s="312"/>
      <c r="Y554" s="313"/>
      <c r="Z554" s="114">
        <f t="shared" si="73"/>
        <v>92</v>
      </c>
    </row>
    <row r="555" spans="1:26" s="245" customFormat="1" x14ac:dyDescent="0.25">
      <c r="A555" s="245" t="s">
        <v>1944</v>
      </c>
      <c r="B555" s="245" t="s">
        <v>1939</v>
      </c>
      <c r="D555" s="245" t="s">
        <v>1940</v>
      </c>
      <c r="E555" s="97"/>
      <c r="F555" s="97" t="s">
        <v>1764</v>
      </c>
      <c r="G555" s="132" t="str">
        <f t="shared" si="68"/>
        <v>23/5/2008</v>
      </c>
      <c r="H555" s="245">
        <v>23</v>
      </c>
      <c r="I555" s="245">
        <v>5</v>
      </c>
      <c r="J555" s="245">
        <v>2008</v>
      </c>
      <c r="K555" s="245" t="s">
        <v>1817</v>
      </c>
      <c r="L555" s="97"/>
      <c r="M555" s="245" t="s">
        <v>796</v>
      </c>
      <c r="N555" s="349">
        <v>1975.4755</v>
      </c>
      <c r="O555" s="349"/>
      <c r="Q555" s="245">
        <v>10</v>
      </c>
      <c r="R555" s="30">
        <f t="shared" si="69"/>
        <v>16.453962499999999</v>
      </c>
      <c r="S555" s="5">
        <v>1497.3105874999999</v>
      </c>
      <c r="T555" s="313">
        <f t="shared" si="70"/>
        <v>1513.7645499999999</v>
      </c>
      <c r="U555" s="15">
        <f t="shared" si="71"/>
        <v>16.453962499999989</v>
      </c>
      <c r="V555" s="313">
        <f t="shared" si="72"/>
        <v>461.71095000000014</v>
      </c>
      <c r="W555" s="245">
        <v>11040</v>
      </c>
      <c r="X555" s="312"/>
      <c r="Y555" s="313"/>
      <c r="Z555" s="114">
        <f t="shared" si="73"/>
        <v>92</v>
      </c>
    </row>
    <row r="556" spans="1:26" s="245" customFormat="1" x14ac:dyDescent="0.25">
      <c r="A556" s="245" t="s">
        <v>1945</v>
      </c>
      <c r="B556" s="245" t="s">
        <v>1946</v>
      </c>
      <c r="D556" s="245" t="s">
        <v>1947</v>
      </c>
      <c r="E556" s="97"/>
      <c r="F556" s="97" t="s">
        <v>1764</v>
      </c>
      <c r="G556" s="132" t="str">
        <f t="shared" si="68"/>
        <v>23/5/2008</v>
      </c>
      <c r="H556" s="245">
        <v>23</v>
      </c>
      <c r="I556" s="245">
        <v>5</v>
      </c>
      <c r="J556" s="245">
        <v>2008</v>
      </c>
      <c r="K556" s="245" t="s">
        <v>1817</v>
      </c>
      <c r="L556" s="97"/>
      <c r="M556" s="245" t="s">
        <v>796</v>
      </c>
      <c r="N556" s="349">
        <v>4372.04</v>
      </c>
      <c r="O556" s="349"/>
      <c r="Q556" s="245">
        <v>10</v>
      </c>
      <c r="R556" s="30">
        <f t="shared" si="69"/>
        <v>36.425333333333334</v>
      </c>
      <c r="S556" s="5">
        <v>3314.7053333333333</v>
      </c>
      <c r="T556" s="313">
        <f t="shared" si="70"/>
        <v>3351.1306666666669</v>
      </c>
      <c r="U556" s="15">
        <f t="shared" si="71"/>
        <v>36.425333333333583</v>
      </c>
      <c r="V556" s="313">
        <f t="shared" si="72"/>
        <v>1020.9093333333331</v>
      </c>
      <c r="W556" s="245">
        <v>11040</v>
      </c>
      <c r="X556" s="312"/>
      <c r="Y556" s="313"/>
      <c r="Z556" s="114">
        <f t="shared" si="73"/>
        <v>92</v>
      </c>
    </row>
    <row r="557" spans="1:26" s="245" customFormat="1" x14ac:dyDescent="0.25">
      <c r="A557" s="245" t="s">
        <v>1948</v>
      </c>
      <c r="B557" s="245" t="s">
        <v>1946</v>
      </c>
      <c r="D557" s="245" t="s">
        <v>1947</v>
      </c>
      <c r="E557" s="97"/>
      <c r="F557" s="97" t="s">
        <v>1764</v>
      </c>
      <c r="G557" s="132" t="str">
        <f t="shared" si="68"/>
        <v>23/5/2008</v>
      </c>
      <c r="H557" s="245">
        <v>23</v>
      </c>
      <c r="I557" s="245">
        <v>5</v>
      </c>
      <c r="J557" s="245">
        <v>2008</v>
      </c>
      <c r="K557" s="245" t="s">
        <v>1817</v>
      </c>
      <c r="L557" s="97"/>
      <c r="M557" s="245" t="s">
        <v>796</v>
      </c>
      <c r="N557" s="349">
        <v>4372.04</v>
      </c>
      <c r="O557" s="349"/>
      <c r="Q557" s="245">
        <v>10</v>
      </c>
      <c r="R557" s="30">
        <f t="shared" si="69"/>
        <v>36.425333333333334</v>
      </c>
      <c r="S557" s="5">
        <v>3314.7053333333333</v>
      </c>
      <c r="T557" s="313">
        <f t="shared" si="70"/>
        <v>3351.1306666666669</v>
      </c>
      <c r="U557" s="15">
        <f t="shared" si="71"/>
        <v>36.425333333333583</v>
      </c>
      <c r="V557" s="313">
        <f t="shared" si="72"/>
        <v>1020.9093333333331</v>
      </c>
      <c r="W557" s="245">
        <v>11040</v>
      </c>
      <c r="X557" s="312"/>
      <c r="Y557" s="313"/>
      <c r="Z557" s="114">
        <f t="shared" si="73"/>
        <v>92</v>
      </c>
    </row>
    <row r="558" spans="1:26" s="245" customFormat="1" x14ac:dyDescent="0.25">
      <c r="A558" s="245" t="s">
        <v>1949</v>
      </c>
      <c r="B558" s="245" t="s">
        <v>1946</v>
      </c>
      <c r="D558" s="245" t="s">
        <v>1947</v>
      </c>
      <c r="E558" s="97"/>
      <c r="F558" s="97" t="s">
        <v>1764</v>
      </c>
      <c r="G558" s="132" t="str">
        <f t="shared" si="68"/>
        <v>23/5/2008</v>
      </c>
      <c r="H558" s="245">
        <v>23</v>
      </c>
      <c r="I558" s="245">
        <v>5</v>
      </c>
      <c r="J558" s="245">
        <v>2008</v>
      </c>
      <c r="K558" s="245" t="s">
        <v>1817</v>
      </c>
      <c r="L558" s="97"/>
      <c r="M558" s="245" t="s">
        <v>796</v>
      </c>
      <c r="N558" s="349">
        <v>4372.04</v>
      </c>
      <c r="O558" s="349"/>
      <c r="Q558" s="245">
        <v>10</v>
      </c>
      <c r="R558" s="30">
        <f t="shared" si="69"/>
        <v>36.425333333333334</v>
      </c>
      <c r="S558" s="5">
        <v>3314.7053333333333</v>
      </c>
      <c r="T558" s="313">
        <f t="shared" si="70"/>
        <v>3351.1306666666669</v>
      </c>
      <c r="U558" s="15">
        <f t="shared" si="71"/>
        <v>36.425333333333583</v>
      </c>
      <c r="V558" s="313">
        <f t="shared" si="72"/>
        <v>1020.9093333333331</v>
      </c>
      <c r="W558" s="245">
        <v>11040</v>
      </c>
      <c r="X558" s="312"/>
      <c r="Y558" s="313"/>
      <c r="Z558" s="114">
        <f t="shared" si="73"/>
        <v>92</v>
      </c>
    </row>
    <row r="559" spans="1:26" s="245" customFormat="1" x14ac:dyDescent="0.25">
      <c r="A559" s="245" t="s">
        <v>1950</v>
      </c>
      <c r="B559" s="245" t="s">
        <v>1946</v>
      </c>
      <c r="D559" s="245" t="s">
        <v>1947</v>
      </c>
      <c r="E559" s="97"/>
      <c r="F559" s="97" t="s">
        <v>1764</v>
      </c>
      <c r="G559" s="132" t="str">
        <f t="shared" si="68"/>
        <v>23/5/2008</v>
      </c>
      <c r="H559" s="245">
        <v>23</v>
      </c>
      <c r="I559" s="245">
        <v>5</v>
      </c>
      <c r="J559" s="245">
        <v>2008</v>
      </c>
      <c r="K559" s="245" t="s">
        <v>1817</v>
      </c>
      <c r="L559" s="97"/>
      <c r="M559" s="245" t="s">
        <v>796</v>
      </c>
      <c r="N559" s="349">
        <v>4372.04</v>
      </c>
      <c r="O559" s="349"/>
      <c r="Q559" s="245">
        <v>10</v>
      </c>
      <c r="R559" s="30">
        <f t="shared" si="69"/>
        <v>36.425333333333334</v>
      </c>
      <c r="S559" s="5">
        <v>3314.7053333333333</v>
      </c>
      <c r="T559" s="313">
        <f t="shared" si="70"/>
        <v>3351.1306666666669</v>
      </c>
      <c r="U559" s="15">
        <f t="shared" si="71"/>
        <v>36.425333333333583</v>
      </c>
      <c r="V559" s="313">
        <f t="shared" si="72"/>
        <v>1020.9093333333331</v>
      </c>
      <c r="W559" s="245">
        <v>11040</v>
      </c>
      <c r="X559" s="312"/>
      <c r="Y559" s="313"/>
      <c r="Z559" s="114">
        <f t="shared" si="73"/>
        <v>92</v>
      </c>
    </row>
    <row r="560" spans="1:26" s="245" customFormat="1" x14ac:dyDescent="0.25">
      <c r="A560" s="245" t="s">
        <v>1951</v>
      </c>
      <c r="B560" s="245" t="s">
        <v>1946</v>
      </c>
      <c r="D560" s="245" t="s">
        <v>1947</v>
      </c>
      <c r="E560" s="97"/>
      <c r="F560" s="97" t="s">
        <v>1764</v>
      </c>
      <c r="G560" s="132" t="str">
        <f t="shared" si="68"/>
        <v>23/5/2008</v>
      </c>
      <c r="H560" s="245">
        <v>23</v>
      </c>
      <c r="I560" s="245">
        <v>5</v>
      </c>
      <c r="J560" s="245">
        <v>2008</v>
      </c>
      <c r="K560" s="245" t="s">
        <v>1817</v>
      </c>
      <c r="L560" s="97"/>
      <c r="M560" s="245" t="s">
        <v>796</v>
      </c>
      <c r="N560" s="349">
        <v>4372.04</v>
      </c>
      <c r="O560" s="349"/>
      <c r="Q560" s="245">
        <v>10</v>
      </c>
      <c r="R560" s="30">
        <f t="shared" si="69"/>
        <v>36.425333333333334</v>
      </c>
      <c r="S560" s="5">
        <v>3314.7053333333333</v>
      </c>
      <c r="T560" s="313">
        <f t="shared" si="70"/>
        <v>3351.1306666666669</v>
      </c>
      <c r="U560" s="15">
        <f t="shared" si="71"/>
        <v>36.425333333333583</v>
      </c>
      <c r="V560" s="313">
        <f t="shared" si="72"/>
        <v>1020.9093333333331</v>
      </c>
      <c r="W560" s="245">
        <v>11040</v>
      </c>
      <c r="X560" s="312"/>
      <c r="Y560" s="313"/>
      <c r="Z560" s="114">
        <f t="shared" si="73"/>
        <v>92</v>
      </c>
    </row>
    <row r="561" spans="1:26" s="245" customFormat="1" x14ac:dyDescent="0.25">
      <c r="A561" s="334" t="s">
        <v>1952</v>
      </c>
      <c r="B561" s="334" t="s">
        <v>1953</v>
      </c>
      <c r="C561" s="334"/>
      <c r="D561" s="334"/>
      <c r="E561" s="172"/>
      <c r="F561" s="172" t="s">
        <v>1764</v>
      </c>
      <c r="G561" s="173" t="str">
        <f t="shared" si="68"/>
        <v>23/5/2008</v>
      </c>
      <c r="H561" s="334">
        <v>23</v>
      </c>
      <c r="I561" s="334">
        <v>5</v>
      </c>
      <c r="J561" s="334">
        <v>2008</v>
      </c>
      <c r="K561" s="334" t="s">
        <v>1817</v>
      </c>
      <c r="L561" s="172"/>
      <c r="M561" s="334" t="s">
        <v>796</v>
      </c>
      <c r="N561" s="350">
        <v>1577.6</v>
      </c>
      <c r="O561" s="350" t="s">
        <v>1811</v>
      </c>
      <c r="P561" s="334"/>
      <c r="Q561" s="334">
        <v>10</v>
      </c>
      <c r="R561" s="178">
        <f t="shared" si="69"/>
        <v>13.138333333333334</v>
      </c>
      <c r="S561" s="5">
        <v>1195.5883333333334</v>
      </c>
      <c r="T561" s="335">
        <f t="shared" si="70"/>
        <v>1208.7266666666667</v>
      </c>
      <c r="U561" s="15">
        <f t="shared" si="71"/>
        <v>13.138333333333321</v>
      </c>
      <c r="V561" s="335">
        <f t="shared" si="72"/>
        <v>368.87333333333322</v>
      </c>
      <c r="W561" s="334">
        <v>11040</v>
      </c>
      <c r="X561" s="336"/>
      <c r="Y561" s="335"/>
      <c r="Z561" s="180">
        <f t="shared" si="73"/>
        <v>92</v>
      </c>
    </row>
    <row r="562" spans="1:26" s="245" customFormat="1" x14ac:dyDescent="0.25">
      <c r="A562" s="334" t="s">
        <v>1954</v>
      </c>
      <c r="B562" s="334" t="s">
        <v>1955</v>
      </c>
      <c r="C562" s="334"/>
      <c r="D562" s="334"/>
      <c r="E562" s="172"/>
      <c r="F562" s="172" t="s">
        <v>1764</v>
      </c>
      <c r="G562" s="173" t="str">
        <f t="shared" si="68"/>
        <v>23/5/2008</v>
      </c>
      <c r="H562" s="334">
        <v>23</v>
      </c>
      <c r="I562" s="334">
        <v>5</v>
      </c>
      <c r="J562" s="334">
        <v>2008</v>
      </c>
      <c r="K562" s="334" t="s">
        <v>1817</v>
      </c>
      <c r="L562" s="172"/>
      <c r="M562" s="334" t="s">
        <v>796</v>
      </c>
      <c r="N562" s="350">
        <v>1577.6</v>
      </c>
      <c r="O562" s="350" t="s">
        <v>1811</v>
      </c>
      <c r="P562" s="334"/>
      <c r="Q562" s="334">
        <v>10</v>
      </c>
      <c r="R562" s="178">
        <f t="shared" si="69"/>
        <v>13.138333333333334</v>
      </c>
      <c r="S562" s="5">
        <v>1195.5883333333334</v>
      </c>
      <c r="T562" s="335">
        <f t="shared" si="70"/>
        <v>1208.7266666666667</v>
      </c>
      <c r="U562" s="15">
        <f t="shared" si="71"/>
        <v>13.138333333333321</v>
      </c>
      <c r="V562" s="335">
        <f t="shared" si="72"/>
        <v>368.87333333333322</v>
      </c>
      <c r="W562" s="334">
        <v>11040</v>
      </c>
      <c r="X562" s="336"/>
      <c r="Y562" s="335"/>
      <c r="Z562" s="180">
        <f t="shared" si="73"/>
        <v>92</v>
      </c>
    </row>
    <row r="563" spans="1:26" s="245" customFormat="1" x14ac:dyDescent="0.25">
      <c r="A563" s="334" t="s">
        <v>1956</v>
      </c>
      <c r="B563" s="334" t="s">
        <v>1957</v>
      </c>
      <c r="C563" s="334"/>
      <c r="D563" s="334"/>
      <c r="E563" s="172"/>
      <c r="F563" s="172" t="s">
        <v>1764</v>
      </c>
      <c r="G563" s="173" t="str">
        <f t="shared" si="68"/>
        <v>23/5/2008</v>
      </c>
      <c r="H563" s="334">
        <v>23</v>
      </c>
      <c r="I563" s="334">
        <v>5</v>
      </c>
      <c r="J563" s="334">
        <v>2008</v>
      </c>
      <c r="K563" s="334" t="s">
        <v>1817</v>
      </c>
      <c r="L563" s="172"/>
      <c r="M563" s="334" t="s">
        <v>796</v>
      </c>
      <c r="N563" s="350">
        <v>1577.6</v>
      </c>
      <c r="O563" s="350" t="s">
        <v>1811</v>
      </c>
      <c r="P563" s="334"/>
      <c r="Q563" s="334">
        <v>10</v>
      </c>
      <c r="R563" s="178">
        <f t="shared" si="69"/>
        <v>13.138333333333334</v>
      </c>
      <c r="S563" s="5">
        <v>1195.5883333333334</v>
      </c>
      <c r="T563" s="335">
        <f t="shared" si="70"/>
        <v>1208.7266666666667</v>
      </c>
      <c r="U563" s="15">
        <f t="shared" si="71"/>
        <v>13.138333333333321</v>
      </c>
      <c r="V563" s="335">
        <f t="shared" si="72"/>
        <v>368.87333333333322</v>
      </c>
      <c r="W563" s="334">
        <v>11040</v>
      </c>
      <c r="X563" s="336"/>
      <c r="Y563" s="335"/>
      <c r="Z563" s="180">
        <f t="shared" si="73"/>
        <v>92</v>
      </c>
    </row>
    <row r="564" spans="1:26" s="245" customFormat="1" x14ac:dyDescent="0.25">
      <c r="A564" s="334" t="s">
        <v>1958</v>
      </c>
      <c r="B564" s="334" t="s">
        <v>1959</v>
      </c>
      <c r="C564" s="334"/>
      <c r="D564" s="334"/>
      <c r="E564" s="172"/>
      <c r="F564" s="172" t="s">
        <v>1764</v>
      </c>
      <c r="G564" s="173" t="str">
        <f t="shared" si="68"/>
        <v>23/5/2008</v>
      </c>
      <c r="H564" s="334">
        <v>23</v>
      </c>
      <c r="I564" s="334">
        <v>5</v>
      </c>
      <c r="J564" s="334">
        <v>2008</v>
      </c>
      <c r="K564" s="334" t="s">
        <v>1817</v>
      </c>
      <c r="L564" s="172"/>
      <c r="M564" s="334" t="s">
        <v>796</v>
      </c>
      <c r="N564" s="350">
        <v>1577.6</v>
      </c>
      <c r="O564" s="350"/>
      <c r="P564" s="334"/>
      <c r="Q564" s="334">
        <v>10</v>
      </c>
      <c r="R564" s="178">
        <f t="shared" si="69"/>
        <v>13.138333333333334</v>
      </c>
      <c r="S564" s="5">
        <v>1195.5883333333334</v>
      </c>
      <c r="T564" s="335">
        <f t="shared" si="70"/>
        <v>1208.7266666666667</v>
      </c>
      <c r="U564" s="15">
        <f t="shared" si="71"/>
        <v>13.138333333333321</v>
      </c>
      <c r="V564" s="335">
        <f t="shared" si="72"/>
        <v>368.87333333333322</v>
      </c>
      <c r="W564" s="334">
        <v>11040</v>
      </c>
      <c r="X564" s="336"/>
      <c r="Y564" s="335"/>
      <c r="Z564" s="180">
        <f t="shared" si="73"/>
        <v>92</v>
      </c>
    </row>
    <row r="565" spans="1:26" s="245" customFormat="1" x14ac:dyDescent="0.25">
      <c r="A565" s="334" t="s">
        <v>1960</v>
      </c>
      <c r="B565" s="334" t="s">
        <v>1961</v>
      </c>
      <c r="C565" s="334"/>
      <c r="D565" s="334"/>
      <c r="E565" s="172"/>
      <c r="F565" s="172" t="s">
        <v>1764</v>
      </c>
      <c r="G565" s="173" t="str">
        <f t="shared" si="68"/>
        <v>23/5/2008</v>
      </c>
      <c r="H565" s="334">
        <v>23</v>
      </c>
      <c r="I565" s="334">
        <v>5</v>
      </c>
      <c r="J565" s="334">
        <v>2008</v>
      </c>
      <c r="K565" s="334" t="s">
        <v>1817</v>
      </c>
      <c r="L565" s="172"/>
      <c r="M565" s="334" t="s">
        <v>796</v>
      </c>
      <c r="N565" s="350">
        <v>1577.6</v>
      </c>
      <c r="O565" s="350"/>
      <c r="P565" s="334"/>
      <c r="Q565" s="334">
        <v>10</v>
      </c>
      <c r="R565" s="178">
        <f t="shared" si="69"/>
        <v>13.138333333333334</v>
      </c>
      <c r="S565" s="5">
        <v>1195.5883333333334</v>
      </c>
      <c r="T565" s="335">
        <f t="shared" si="70"/>
        <v>1208.7266666666667</v>
      </c>
      <c r="U565" s="15">
        <f t="shared" si="71"/>
        <v>13.138333333333321</v>
      </c>
      <c r="V565" s="335">
        <f t="shared" si="72"/>
        <v>368.87333333333322</v>
      </c>
      <c r="W565" s="334">
        <v>11040</v>
      </c>
      <c r="X565" s="336"/>
      <c r="Y565" s="335"/>
      <c r="Z565" s="180">
        <f t="shared" si="73"/>
        <v>92</v>
      </c>
    </row>
    <row r="566" spans="1:26" s="245" customFormat="1" x14ac:dyDescent="0.25">
      <c r="A566" s="245" t="s">
        <v>1962</v>
      </c>
      <c r="B566" s="245" t="s">
        <v>1963</v>
      </c>
      <c r="E566" s="97"/>
      <c r="F566" s="97" t="s">
        <v>1764</v>
      </c>
      <c r="G566" s="132" t="str">
        <f t="shared" si="68"/>
        <v>23/5/2008</v>
      </c>
      <c r="H566" s="245">
        <v>23</v>
      </c>
      <c r="I566" s="245">
        <v>5</v>
      </c>
      <c r="J566" s="245">
        <v>2008</v>
      </c>
      <c r="K566" s="245" t="s">
        <v>1817</v>
      </c>
      <c r="L566" s="97"/>
      <c r="M566" s="245" t="s">
        <v>796</v>
      </c>
      <c r="N566" s="349">
        <v>1577.6</v>
      </c>
      <c r="O566" s="349"/>
      <c r="Q566" s="245">
        <v>10</v>
      </c>
      <c r="R566" s="30">
        <f t="shared" si="69"/>
        <v>13.138333333333334</v>
      </c>
      <c r="S566" s="5">
        <v>1195.5883333333334</v>
      </c>
      <c r="T566" s="313">
        <f t="shared" si="70"/>
        <v>1208.7266666666667</v>
      </c>
      <c r="U566" s="15">
        <f t="shared" si="71"/>
        <v>13.138333333333321</v>
      </c>
      <c r="V566" s="313">
        <f t="shared" si="72"/>
        <v>368.87333333333322</v>
      </c>
      <c r="W566" s="245">
        <v>11040</v>
      </c>
      <c r="X566" s="312"/>
      <c r="Y566" s="313"/>
      <c r="Z566" s="114">
        <f t="shared" si="73"/>
        <v>92</v>
      </c>
    </row>
    <row r="567" spans="1:26" s="245" customFormat="1" x14ac:dyDescent="0.25">
      <c r="A567" s="245" t="s">
        <v>1964</v>
      </c>
      <c r="B567" s="245" t="s">
        <v>1963</v>
      </c>
      <c r="E567" s="97"/>
      <c r="F567" s="97" t="s">
        <v>1764</v>
      </c>
      <c r="G567" s="132" t="str">
        <f t="shared" si="68"/>
        <v>23/5/2008</v>
      </c>
      <c r="H567" s="245">
        <v>23</v>
      </c>
      <c r="I567" s="245">
        <v>5</v>
      </c>
      <c r="J567" s="245">
        <v>2008</v>
      </c>
      <c r="K567" s="245" t="s">
        <v>1817</v>
      </c>
      <c r="L567" s="97"/>
      <c r="M567" s="245" t="s">
        <v>796</v>
      </c>
      <c r="N567" s="349">
        <v>1577.6</v>
      </c>
      <c r="O567" s="349"/>
      <c r="Q567" s="245">
        <v>10</v>
      </c>
      <c r="R567" s="30">
        <f t="shared" si="69"/>
        <v>13.138333333333334</v>
      </c>
      <c r="S567" s="5">
        <v>1195.5883333333334</v>
      </c>
      <c r="T567" s="313">
        <f t="shared" si="70"/>
        <v>1208.7266666666667</v>
      </c>
      <c r="U567" s="15">
        <f t="shared" si="71"/>
        <v>13.138333333333321</v>
      </c>
      <c r="V567" s="313">
        <f t="shared" si="72"/>
        <v>368.87333333333322</v>
      </c>
      <c r="W567" s="245">
        <v>11040</v>
      </c>
      <c r="X567" s="312"/>
      <c r="Y567" s="313"/>
      <c r="Z567" s="114">
        <f t="shared" si="73"/>
        <v>92</v>
      </c>
    </row>
    <row r="568" spans="1:26" s="245" customFormat="1" x14ac:dyDescent="0.25">
      <c r="A568" s="245" t="s">
        <v>1965</v>
      </c>
      <c r="B568" s="245" t="s">
        <v>1963</v>
      </c>
      <c r="E568" s="97"/>
      <c r="F568" s="97" t="s">
        <v>1764</v>
      </c>
      <c r="G568" s="132" t="str">
        <f t="shared" si="68"/>
        <v>23/5/2008</v>
      </c>
      <c r="H568" s="245">
        <v>23</v>
      </c>
      <c r="I568" s="245">
        <v>5</v>
      </c>
      <c r="J568" s="245">
        <v>2008</v>
      </c>
      <c r="K568" s="245" t="s">
        <v>1817</v>
      </c>
      <c r="L568" s="97"/>
      <c r="M568" s="245" t="s">
        <v>796</v>
      </c>
      <c r="N568" s="349">
        <v>1577.6</v>
      </c>
      <c r="O568" s="349"/>
      <c r="Q568" s="245">
        <v>10</v>
      </c>
      <c r="R568" s="30">
        <f t="shared" si="69"/>
        <v>13.138333333333334</v>
      </c>
      <c r="S568" s="5">
        <v>1195.5883333333334</v>
      </c>
      <c r="T568" s="313">
        <f t="shared" si="70"/>
        <v>1208.7266666666667</v>
      </c>
      <c r="U568" s="15">
        <f t="shared" si="71"/>
        <v>13.138333333333321</v>
      </c>
      <c r="V568" s="313">
        <f t="shared" si="72"/>
        <v>368.87333333333322</v>
      </c>
      <c r="W568" s="245">
        <v>11040</v>
      </c>
      <c r="X568" s="312"/>
      <c r="Y568" s="313"/>
      <c r="Z568" s="114">
        <f t="shared" si="73"/>
        <v>92</v>
      </c>
    </row>
    <row r="569" spans="1:26" s="245" customFormat="1" x14ac:dyDescent="0.25">
      <c r="A569" s="245" t="s">
        <v>1966</v>
      </c>
      <c r="B569" s="245" t="s">
        <v>1963</v>
      </c>
      <c r="E569" s="97"/>
      <c r="F569" s="97" t="s">
        <v>1764</v>
      </c>
      <c r="G569" s="132" t="str">
        <f t="shared" si="68"/>
        <v>23/5/2008</v>
      </c>
      <c r="H569" s="245">
        <v>23</v>
      </c>
      <c r="I569" s="245">
        <v>5</v>
      </c>
      <c r="J569" s="245">
        <v>2008</v>
      </c>
      <c r="K569" s="245" t="s">
        <v>1817</v>
      </c>
      <c r="L569" s="97"/>
      <c r="M569" s="245" t="s">
        <v>796</v>
      </c>
      <c r="N569" s="349">
        <v>1577.6</v>
      </c>
      <c r="O569" s="349"/>
      <c r="Q569" s="245">
        <v>10</v>
      </c>
      <c r="R569" s="30">
        <f t="shared" si="69"/>
        <v>13.138333333333334</v>
      </c>
      <c r="S569" s="5">
        <v>1195.5883333333334</v>
      </c>
      <c r="T569" s="313">
        <f t="shared" si="70"/>
        <v>1208.7266666666667</v>
      </c>
      <c r="U569" s="15">
        <f t="shared" si="71"/>
        <v>13.138333333333321</v>
      </c>
      <c r="V569" s="313">
        <f t="shared" si="72"/>
        <v>368.87333333333322</v>
      </c>
      <c r="W569" s="245">
        <v>11040</v>
      </c>
      <c r="X569" s="312"/>
      <c r="Y569" s="313"/>
      <c r="Z569" s="114">
        <f t="shared" si="73"/>
        <v>92</v>
      </c>
    </row>
    <row r="570" spans="1:26" s="245" customFormat="1" x14ac:dyDescent="0.25">
      <c r="A570" s="334" t="s">
        <v>1967</v>
      </c>
      <c r="B570" s="334" t="s">
        <v>1968</v>
      </c>
      <c r="C570" s="334"/>
      <c r="D570" s="334" t="s">
        <v>1969</v>
      </c>
      <c r="E570" s="172"/>
      <c r="F570" s="172" t="s">
        <v>1764</v>
      </c>
      <c r="G570" s="173" t="str">
        <f t="shared" si="68"/>
        <v>23/5/2008</v>
      </c>
      <c r="H570" s="334">
        <v>23</v>
      </c>
      <c r="I570" s="334">
        <v>5</v>
      </c>
      <c r="J570" s="334">
        <v>2008</v>
      </c>
      <c r="K570" s="334" t="s">
        <v>1817</v>
      </c>
      <c r="L570" s="172"/>
      <c r="M570" s="334" t="s">
        <v>796</v>
      </c>
      <c r="N570" s="350">
        <v>3622.68</v>
      </c>
      <c r="O570" s="349"/>
      <c r="Q570" s="334">
        <v>10</v>
      </c>
      <c r="R570" s="178">
        <f t="shared" si="69"/>
        <v>30.180666666666667</v>
      </c>
      <c r="S570" s="5">
        <v>2746.4406666666669</v>
      </c>
      <c r="T570" s="335">
        <f t="shared" si="70"/>
        <v>2776.6213333333335</v>
      </c>
      <c r="U570" s="15">
        <f t="shared" si="71"/>
        <v>30.180666666666639</v>
      </c>
      <c r="V570" s="335">
        <f t="shared" si="72"/>
        <v>846.05866666666634</v>
      </c>
      <c r="W570" s="334">
        <v>11040</v>
      </c>
      <c r="X570" s="336"/>
      <c r="Y570" s="335"/>
      <c r="Z570" s="180">
        <f t="shared" si="73"/>
        <v>92</v>
      </c>
    </row>
    <row r="571" spans="1:26" s="245" customFormat="1" x14ac:dyDescent="0.25">
      <c r="A571" s="245" t="s">
        <v>1970</v>
      </c>
      <c r="B571" s="245" t="s">
        <v>1971</v>
      </c>
      <c r="D571" s="245" t="s">
        <v>1969</v>
      </c>
      <c r="E571" s="97"/>
      <c r="F571" s="97" t="s">
        <v>1764</v>
      </c>
      <c r="G571" s="132" t="str">
        <f t="shared" si="68"/>
        <v>23/5/2008</v>
      </c>
      <c r="H571" s="245">
        <v>23</v>
      </c>
      <c r="I571" s="245">
        <v>5</v>
      </c>
      <c r="J571" s="245">
        <v>2008</v>
      </c>
      <c r="K571" s="245" t="s">
        <v>1817</v>
      </c>
      <c r="L571" s="97"/>
      <c r="M571" s="245" t="s">
        <v>796</v>
      </c>
      <c r="N571" s="349">
        <v>3622.68</v>
      </c>
      <c r="O571" s="349"/>
      <c r="Q571" s="245">
        <v>10</v>
      </c>
      <c r="R571" s="30">
        <f t="shared" si="69"/>
        <v>30.180666666666667</v>
      </c>
      <c r="S571" s="5">
        <v>2746.4406666666669</v>
      </c>
      <c r="T571" s="313">
        <f t="shared" si="70"/>
        <v>2776.6213333333335</v>
      </c>
      <c r="U571" s="15">
        <f t="shared" si="71"/>
        <v>30.180666666666639</v>
      </c>
      <c r="V571" s="313">
        <f t="shared" si="72"/>
        <v>846.05866666666634</v>
      </c>
      <c r="W571" s="245">
        <v>11040</v>
      </c>
      <c r="X571" s="312"/>
      <c r="Y571" s="313"/>
      <c r="Z571" s="114">
        <f t="shared" si="73"/>
        <v>92</v>
      </c>
    </row>
    <row r="572" spans="1:26" s="245" customFormat="1" x14ac:dyDescent="0.25">
      <c r="A572" s="245" t="s">
        <v>1972</v>
      </c>
      <c r="B572" s="245" t="s">
        <v>1971</v>
      </c>
      <c r="D572" s="245" t="s">
        <v>1969</v>
      </c>
      <c r="E572" s="97"/>
      <c r="F572" s="97" t="s">
        <v>1764</v>
      </c>
      <c r="G572" s="132" t="str">
        <f t="shared" si="68"/>
        <v>23/5/2008</v>
      </c>
      <c r="H572" s="245">
        <v>23</v>
      </c>
      <c r="I572" s="245">
        <v>5</v>
      </c>
      <c r="J572" s="245">
        <v>2008</v>
      </c>
      <c r="K572" s="245" t="s">
        <v>1817</v>
      </c>
      <c r="L572" s="97"/>
      <c r="M572" s="245" t="s">
        <v>796</v>
      </c>
      <c r="N572" s="349">
        <v>3622.68</v>
      </c>
      <c r="O572" s="349"/>
      <c r="Q572" s="245">
        <v>10</v>
      </c>
      <c r="R572" s="30">
        <f t="shared" si="69"/>
        <v>30.180666666666667</v>
      </c>
      <c r="S572" s="5">
        <v>2746.4406666666669</v>
      </c>
      <c r="T572" s="313">
        <f t="shared" si="70"/>
        <v>2776.6213333333335</v>
      </c>
      <c r="U572" s="15">
        <f t="shared" si="71"/>
        <v>30.180666666666639</v>
      </c>
      <c r="V572" s="313">
        <f t="shared" si="72"/>
        <v>846.05866666666634</v>
      </c>
      <c r="W572" s="245">
        <v>11040</v>
      </c>
      <c r="X572" s="312"/>
      <c r="Y572" s="313"/>
      <c r="Z572" s="114">
        <f t="shared" si="73"/>
        <v>92</v>
      </c>
    </row>
    <row r="573" spans="1:26" s="245" customFormat="1" x14ac:dyDescent="0.25">
      <c r="A573" s="245" t="s">
        <v>1973</v>
      </c>
      <c r="B573" s="245" t="s">
        <v>1971</v>
      </c>
      <c r="D573" s="245" t="s">
        <v>1969</v>
      </c>
      <c r="E573" s="97"/>
      <c r="F573" s="97" t="s">
        <v>1764</v>
      </c>
      <c r="G573" s="132" t="str">
        <f t="shared" si="68"/>
        <v>23/5/2008</v>
      </c>
      <c r="H573" s="245">
        <v>23</v>
      </c>
      <c r="I573" s="245">
        <v>5</v>
      </c>
      <c r="J573" s="245">
        <v>2008</v>
      </c>
      <c r="K573" s="245" t="s">
        <v>1817</v>
      </c>
      <c r="L573" s="97"/>
      <c r="M573" s="245" t="s">
        <v>796</v>
      </c>
      <c r="N573" s="349">
        <v>3622.68</v>
      </c>
      <c r="O573" s="349"/>
      <c r="Q573" s="245">
        <v>10</v>
      </c>
      <c r="R573" s="30">
        <f t="shared" si="69"/>
        <v>30.180666666666667</v>
      </c>
      <c r="S573" s="5">
        <v>2746.4406666666669</v>
      </c>
      <c r="T573" s="313">
        <f t="shared" si="70"/>
        <v>2776.6213333333335</v>
      </c>
      <c r="U573" s="15">
        <f t="shared" si="71"/>
        <v>30.180666666666639</v>
      </c>
      <c r="V573" s="313">
        <f t="shared" si="72"/>
        <v>846.05866666666634</v>
      </c>
      <c r="W573" s="245">
        <v>11040</v>
      </c>
      <c r="X573" s="312"/>
      <c r="Y573" s="313"/>
      <c r="Z573" s="114">
        <f t="shared" si="73"/>
        <v>92</v>
      </c>
    </row>
    <row r="574" spans="1:26" s="245" customFormat="1" x14ac:dyDescent="0.25">
      <c r="A574" s="245" t="s">
        <v>1974</v>
      </c>
      <c r="B574" s="245" t="s">
        <v>1971</v>
      </c>
      <c r="D574" s="245" t="s">
        <v>1969</v>
      </c>
      <c r="E574" s="97"/>
      <c r="F574" s="97" t="s">
        <v>1764</v>
      </c>
      <c r="G574" s="132" t="str">
        <f t="shared" si="68"/>
        <v>23/5/2008</v>
      </c>
      <c r="H574" s="245">
        <v>23</v>
      </c>
      <c r="I574" s="245">
        <v>5</v>
      </c>
      <c r="J574" s="245">
        <v>2008</v>
      </c>
      <c r="K574" s="245" t="s">
        <v>1817</v>
      </c>
      <c r="L574" s="97"/>
      <c r="M574" s="245" t="s">
        <v>796</v>
      </c>
      <c r="N574" s="349">
        <v>3622.68</v>
      </c>
      <c r="O574" s="349"/>
      <c r="Q574" s="245">
        <v>10</v>
      </c>
      <c r="R574" s="30">
        <f t="shared" si="69"/>
        <v>30.180666666666667</v>
      </c>
      <c r="S574" s="5">
        <v>2746.4406666666669</v>
      </c>
      <c r="T574" s="313">
        <f t="shared" si="70"/>
        <v>2776.6213333333335</v>
      </c>
      <c r="U574" s="15">
        <f t="shared" si="71"/>
        <v>30.180666666666639</v>
      </c>
      <c r="V574" s="313">
        <f t="shared" si="72"/>
        <v>846.05866666666634</v>
      </c>
      <c r="W574" s="245">
        <v>11040</v>
      </c>
      <c r="X574" s="312"/>
      <c r="Y574" s="313"/>
      <c r="Z574" s="114">
        <f t="shared" si="73"/>
        <v>92</v>
      </c>
    </row>
    <row r="575" spans="1:26" s="245" customFormat="1" x14ac:dyDescent="0.25">
      <c r="A575" s="245" t="s">
        <v>1975</v>
      </c>
      <c r="B575" s="245" t="s">
        <v>1971</v>
      </c>
      <c r="D575" s="245" t="s">
        <v>1969</v>
      </c>
      <c r="E575" s="97"/>
      <c r="F575" s="97" t="s">
        <v>1764</v>
      </c>
      <c r="G575" s="132" t="str">
        <f t="shared" si="68"/>
        <v>23/5/2008</v>
      </c>
      <c r="H575" s="245">
        <v>23</v>
      </c>
      <c r="I575" s="245">
        <v>5</v>
      </c>
      <c r="J575" s="245">
        <v>2008</v>
      </c>
      <c r="K575" s="245" t="s">
        <v>1817</v>
      </c>
      <c r="L575" s="97"/>
      <c r="M575" s="245" t="s">
        <v>796</v>
      </c>
      <c r="N575" s="349">
        <v>3622.68</v>
      </c>
      <c r="O575" s="349"/>
      <c r="Q575" s="245">
        <v>10</v>
      </c>
      <c r="R575" s="30">
        <f t="shared" si="69"/>
        <v>30.180666666666667</v>
      </c>
      <c r="S575" s="5">
        <v>2746.4406666666669</v>
      </c>
      <c r="T575" s="313">
        <f t="shared" si="70"/>
        <v>2776.6213333333335</v>
      </c>
      <c r="U575" s="15">
        <f t="shared" si="71"/>
        <v>30.180666666666639</v>
      </c>
      <c r="V575" s="313">
        <f t="shared" si="72"/>
        <v>846.05866666666634</v>
      </c>
      <c r="W575" s="245">
        <v>11040</v>
      </c>
      <c r="X575" s="312"/>
      <c r="Y575" s="313"/>
      <c r="Z575" s="114">
        <f t="shared" si="73"/>
        <v>92</v>
      </c>
    </row>
    <row r="576" spans="1:26" s="245" customFormat="1" x14ac:dyDescent="0.25">
      <c r="A576" s="245" t="s">
        <v>1976</v>
      </c>
      <c r="B576" s="245" t="s">
        <v>1971</v>
      </c>
      <c r="D576" s="245" t="s">
        <v>1969</v>
      </c>
      <c r="E576" s="97"/>
      <c r="F576" s="97" t="s">
        <v>1764</v>
      </c>
      <c r="G576" s="132" t="str">
        <f t="shared" si="68"/>
        <v>23/5/2008</v>
      </c>
      <c r="H576" s="245">
        <v>23</v>
      </c>
      <c r="I576" s="245">
        <v>5</v>
      </c>
      <c r="J576" s="245">
        <v>2008</v>
      </c>
      <c r="K576" s="245" t="s">
        <v>1817</v>
      </c>
      <c r="L576" s="97"/>
      <c r="M576" s="245" t="s">
        <v>796</v>
      </c>
      <c r="N576" s="349">
        <v>3622.68</v>
      </c>
      <c r="O576" s="349"/>
      <c r="Q576" s="245">
        <v>10</v>
      </c>
      <c r="R576" s="30">
        <f t="shared" si="69"/>
        <v>30.180666666666667</v>
      </c>
      <c r="S576" s="5">
        <v>2746.4406666666669</v>
      </c>
      <c r="T576" s="313">
        <f t="shared" si="70"/>
        <v>2776.6213333333335</v>
      </c>
      <c r="U576" s="15">
        <f t="shared" si="71"/>
        <v>30.180666666666639</v>
      </c>
      <c r="V576" s="313">
        <f t="shared" si="72"/>
        <v>846.05866666666634</v>
      </c>
      <c r="W576" s="245">
        <v>11040</v>
      </c>
      <c r="X576" s="312"/>
      <c r="Y576" s="313"/>
      <c r="Z576" s="114">
        <f t="shared" si="73"/>
        <v>92</v>
      </c>
    </row>
    <row r="577" spans="1:26" s="245" customFormat="1" x14ac:dyDescent="0.25">
      <c r="A577" s="245" t="s">
        <v>1977</v>
      </c>
      <c r="B577" s="245" t="s">
        <v>1971</v>
      </c>
      <c r="D577" s="245" t="s">
        <v>1969</v>
      </c>
      <c r="E577" s="97"/>
      <c r="F577" s="97" t="s">
        <v>1764</v>
      </c>
      <c r="G577" s="132" t="str">
        <f t="shared" si="68"/>
        <v>23/5/2008</v>
      </c>
      <c r="H577" s="245">
        <v>23</v>
      </c>
      <c r="I577" s="245">
        <v>5</v>
      </c>
      <c r="J577" s="245">
        <v>2008</v>
      </c>
      <c r="K577" s="245" t="s">
        <v>1817</v>
      </c>
      <c r="L577" s="97"/>
      <c r="M577" s="245" t="s">
        <v>796</v>
      </c>
      <c r="N577" s="349">
        <v>3622.68</v>
      </c>
      <c r="O577" s="349"/>
      <c r="Q577" s="245">
        <v>10</v>
      </c>
      <c r="R577" s="30">
        <f t="shared" si="69"/>
        <v>30.180666666666667</v>
      </c>
      <c r="S577" s="5">
        <v>2746.4406666666669</v>
      </c>
      <c r="T577" s="313">
        <f t="shared" si="70"/>
        <v>2776.6213333333335</v>
      </c>
      <c r="U577" s="15">
        <f t="shared" si="71"/>
        <v>30.180666666666639</v>
      </c>
      <c r="V577" s="313">
        <f t="shared" si="72"/>
        <v>846.05866666666634</v>
      </c>
      <c r="W577" s="245">
        <v>11040</v>
      </c>
      <c r="X577" s="312"/>
      <c r="Y577" s="313"/>
      <c r="Z577" s="114">
        <f t="shared" si="73"/>
        <v>92</v>
      </c>
    </row>
    <row r="578" spans="1:26" s="245" customFormat="1" x14ac:dyDescent="0.25">
      <c r="A578" s="334" t="s">
        <v>1978</v>
      </c>
      <c r="B578" s="334" t="s">
        <v>1979</v>
      </c>
      <c r="C578" s="334"/>
      <c r="D578" s="334" t="s">
        <v>1969</v>
      </c>
      <c r="E578" s="172"/>
      <c r="F578" s="172" t="s">
        <v>1764</v>
      </c>
      <c r="G578" s="173" t="str">
        <f t="shared" si="68"/>
        <v>23/5/2008</v>
      </c>
      <c r="H578" s="334">
        <v>23</v>
      </c>
      <c r="I578" s="334">
        <v>5</v>
      </c>
      <c r="J578" s="334">
        <v>2008</v>
      </c>
      <c r="K578" s="334" t="s">
        <v>1817</v>
      </c>
      <c r="L578" s="172"/>
      <c r="M578" s="334" t="s">
        <v>796</v>
      </c>
      <c r="N578" s="350">
        <v>3622.68</v>
      </c>
      <c r="O578" s="349"/>
      <c r="Q578" s="334">
        <v>10</v>
      </c>
      <c r="R578" s="178">
        <f t="shared" si="69"/>
        <v>30.180666666666667</v>
      </c>
      <c r="S578" s="5">
        <v>2746.4406666666669</v>
      </c>
      <c r="T578" s="335">
        <f t="shared" si="70"/>
        <v>2776.6213333333335</v>
      </c>
      <c r="U578" s="15">
        <f t="shared" si="71"/>
        <v>30.180666666666639</v>
      </c>
      <c r="V578" s="335">
        <f t="shared" si="72"/>
        <v>846.05866666666634</v>
      </c>
      <c r="W578" s="334">
        <v>11040</v>
      </c>
      <c r="X578" s="336"/>
      <c r="Y578" s="335"/>
      <c r="Z578" s="180">
        <f t="shared" si="73"/>
        <v>92</v>
      </c>
    </row>
    <row r="579" spans="1:26" s="245" customFormat="1" x14ac:dyDescent="0.25">
      <c r="A579" s="334" t="s">
        <v>1980</v>
      </c>
      <c r="B579" s="334" t="s">
        <v>1981</v>
      </c>
      <c r="C579" s="334"/>
      <c r="D579" s="334" t="s">
        <v>1969</v>
      </c>
      <c r="E579" s="172"/>
      <c r="F579" s="172" t="s">
        <v>1764</v>
      </c>
      <c r="G579" s="173" t="str">
        <f t="shared" si="68"/>
        <v>23/5/2008</v>
      </c>
      <c r="H579" s="334">
        <v>23</v>
      </c>
      <c r="I579" s="334">
        <v>5</v>
      </c>
      <c r="J579" s="334">
        <v>2008</v>
      </c>
      <c r="K579" s="334" t="s">
        <v>1817</v>
      </c>
      <c r="L579" s="172"/>
      <c r="M579" s="334" t="s">
        <v>796</v>
      </c>
      <c r="N579" s="350">
        <v>3622.68</v>
      </c>
      <c r="O579" s="349"/>
      <c r="Q579" s="334">
        <v>10</v>
      </c>
      <c r="R579" s="178">
        <f t="shared" si="69"/>
        <v>30.180666666666667</v>
      </c>
      <c r="S579" s="5">
        <v>2746.4406666666669</v>
      </c>
      <c r="T579" s="335">
        <f t="shared" si="70"/>
        <v>2776.6213333333335</v>
      </c>
      <c r="U579" s="15">
        <f t="shared" si="71"/>
        <v>30.180666666666639</v>
      </c>
      <c r="V579" s="335">
        <f t="shared" si="72"/>
        <v>846.05866666666634</v>
      </c>
      <c r="W579" s="334">
        <v>11040</v>
      </c>
      <c r="X579" s="336"/>
      <c r="Y579" s="335"/>
      <c r="Z579" s="180">
        <f t="shared" si="73"/>
        <v>92</v>
      </c>
    </row>
    <row r="580" spans="1:26" s="245" customFormat="1" x14ac:dyDescent="0.25">
      <c r="A580" s="245" t="s">
        <v>1982</v>
      </c>
      <c r="B580" s="245" t="s">
        <v>1971</v>
      </c>
      <c r="D580" s="245" t="s">
        <v>1969</v>
      </c>
      <c r="E580" s="97"/>
      <c r="F580" s="97" t="s">
        <v>1764</v>
      </c>
      <c r="G580" s="132" t="str">
        <f t="shared" si="68"/>
        <v>23/5/2008</v>
      </c>
      <c r="H580" s="245">
        <v>23</v>
      </c>
      <c r="I580" s="245">
        <v>5</v>
      </c>
      <c r="J580" s="245">
        <v>2008</v>
      </c>
      <c r="K580" s="245" t="s">
        <v>1817</v>
      </c>
      <c r="L580" s="97"/>
      <c r="M580" s="245" t="s">
        <v>796</v>
      </c>
      <c r="N580" s="349">
        <v>3622.68</v>
      </c>
      <c r="O580" s="349"/>
      <c r="Q580" s="245">
        <v>10</v>
      </c>
      <c r="R580" s="30">
        <f t="shared" si="69"/>
        <v>30.180666666666667</v>
      </c>
      <c r="S580" s="5">
        <v>2746.4406666666669</v>
      </c>
      <c r="T580" s="313">
        <f t="shared" si="70"/>
        <v>2776.6213333333335</v>
      </c>
      <c r="U580" s="15">
        <f t="shared" si="71"/>
        <v>30.180666666666639</v>
      </c>
      <c r="V580" s="313">
        <f t="shared" si="72"/>
        <v>846.05866666666634</v>
      </c>
      <c r="W580" s="245">
        <v>11040</v>
      </c>
      <c r="X580" s="312"/>
      <c r="Y580" s="313"/>
      <c r="Z580" s="114">
        <f t="shared" si="73"/>
        <v>92</v>
      </c>
    </row>
    <row r="581" spans="1:26" s="245" customFormat="1" x14ac:dyDescent="0.25">
      <c r="A581" s="245" t="s">
        <v>1983</v>
      </c>
      <c r="B581" s="245" t="s">
        <v>1971</v>
      </c>
      <c r="D581" s="245" t="s">
        <v>1969</v>
      </c>
      <c r="E581" s="97"/>
      <c r="F581" s="97" t="s">
        <v>1764</v>
      </c>
      <c r="G581" s="132" t="str">
        <f t="shared" si="68"/>
        <v>23/5/2008</v>
      </c>
      <c r="H581" s="245">
        <v>23</v>
      </c>
      <c r="I581" s="245">
        <v>5</v>
      </c>
      <c r="J581" s="245">
        <v>2008</v>
      </c>
      <c r="K581" s="245" t="s">
        <v>1817</v>
      </c>
      <c r="L581" s="97"/>
      <c r="M581" s="245" t="s">
        <v>796</v>
      </c>
      <c r="N581" s="349">
        <v>3622.68</v>
      </c>
      <c r="O581" s="349"/>
      <c r="Q581" s="245">
        <v>10</v>
      </c>
      <c r="R581" s="30">
        <f t="shared" si="69"/>
        <v>30.180666666666667</v>
      </c>
      <c r="S581" s="5">
        <v>2746.4406666666669</v>
      </c>
      <c r="T581" s="313">
        <f t="shared" si="70"/>
        <v>2776.6213333333335</v>
      </c>
      <c r="U581" s="15">
        <f t="shared" si="71"/>
        <v>30.180666666666639</v>
      </c>
      <c r="V581" s="313">
        <f t="shared" si="72"/>
        <v>846.05866666666634</v>
      </c>
      <c r="W581" s="245">
        <v>11040</v>
      </c>
      <c r="X581" s="312"/>
      <c r="Y581" s="313"/>
      <c r="Z581" s="114">
        <f t="shared" si="73"/>
        <v>92</v>
      </c>
    </row>
    <row r="582" spans="1:26" s="245" customFormat="1" x14ac:dyDescent="0.25">
      <c r="A582" s="245" t="s">
        <v>1984</v>
      </c>
      <c r="B582" s="245" t="s">
        <v>1971</v>
      </c>
      <c r="D582" s="245" t="s">
        <v>1969</v>
      </c>
      <c r="E582" s="97"/>
      <c r="F582" s="97" t="s">
        <v>1764</v>
      </c>
      <c r="G582" s="132" t="str">
        <f t="shared" si="68"/>
        <v>23/5/2008</v>
      </c>
      <c r="H582" s="245">
        <v>23</v>
      </c>
      <c r="I582" s="245">
        <v>5</v>
      </c>
      <c r="J582" s="245">
        <v>2008</v>
      </c>
      <c r="K582" s="245" t="s">
        <v>1817</v>
      </c>
      <c r="L582" s="97"/>
      <c r="M582" s="245" t="s">
        <v>796</v>
      </c>
      <c r="N582" s="349">
        <v>3622.68</v>
      </c>
      <c r="O582" s="349"/>
      <c r="Q582" s="245">
        <v>10</v>
      </c>
      <c r="R582" s="30">
        <f t="shared" si="69"/>
        <v>30.180666666666667</v>
      </c>
      <c r="S582" s="5">
        <v>2746.4406666666669</v>
      </c>
      <c r="T582" s="313">
        <f t="shared" si="70"/>
        <v>2776.6213333333335</v>
      </c>
      <c r="U582" s="15">
        <f t="shared" si="71"/>
        <v>30.180666666666639</v>
      </c>
      <c r="V582" s="313">
        <f t="shared" si="72"/>
        <v>846.05866666666634</v>
      </c>
      <c r="W582" s="245">
        <v>11040</v>
      </c>
      <c r="X582" s="312"/>
      <c r="Y582" s="313"/>
      <c r="Z582" s="114">
        <f t="shared" si="73"/>
        <v>92</v>
      </c>
    </row>
    <row r="583" spans="1:26" s="245" customFormat="1" x14ac:dyDescent="0.25">
      <c r="A583" s="245" t="s">
        <v>1985</v>
      </c>
      <c r="B583" s="245" t="s">
        <v>1971</v>
      </c>
      <c r="D583" s="245" t="s">
        <v>1969</v>
      </c>
      <c r="E583" s="97"/>
      <c r="F583" s="97" t="s">
        <v>1764</v>
      </c>
      <c r="G583" s="132" t="str">
        <f t="shared" si="68"/>
        <v>23/5/2008</v>
      </c>
      <c r="H583" s="245">
        <v>23</v>
      </c>
      <c r="I583" s="245">
        <v>5</v>
      </c>
      <c r="J583" s="245">
        <v>2008</v>
      </c>
      <c r="K583" s="245" t="s">
        <v>1817</v>
      </c>
      <c r="L583" s="97"/>
      <c r="M583" s="245" t="s">
        <v>796</v>
      </c>
      <c r="N583" s="349">
        <v>3622.68</v>
      </c>
      <c r="O583" s="349"/>
      <c r="Q583" s="245">
        <v>10</v>
      </c>
      <c r="R583" s="30">
        <f t="shared" si="69"/>
        <v>30.180666666666667</v>
      </c>
      <c r="S583" s="5">
        <v>2746.4406666666669</v>
      </c>
      <c r="T583" s="313">
        <f t="shared" si="70"/>
        <v>2776.6213333333335</v>
      </c>
      <c r="U583" s="15">
        <f t="shared" si="71"/>
        <v>30.180666666666639</v>
      </c>
      <c r="V583" s="313">
        <f t="shared" si="72"/>
        <v>846.05866666666634</v>
      </c>
      <c r="W583" s="245">
        <v>11040</v>
      </c>
      <c r="X583" s="312"/>
      <c r="Y583" s="313"/>
      <c r="Z583" s="114">
        <f t="shared" si="73"/>
        <v>92</v>
      </c>
    </row>
    <row r="584" spans="1:26" s="245" customFormat="1" x14ac:dyDescent="0.25">
      <c r="A584" s="245" t="s">
        <v>1986</v>
      </c>
      <c r="B584" s="245" t="s">
        <v>1971</v>
      </c>
      <c r="D584" s="245" t="s">
        <v>1969</v>
      </c>
      <c r="E584" s="97"/>
      <c r="F584" s="97" t="s">
        <v>1764</v>
      </c>
      <c r="G584" s="132" t="str">
        <f t="shared" si="68"/>
        <v>23/5/2008</v>
      </c>
      <c r="H584" s="245">
        <v>23</v>
      </c>
      <c r="I584" s="245">
        <v>5</v>
      </c>
      <c r="J584" s="245">
        <v>2008</v>
      </c>
      <c r="K584" s="245" t="s">
        <v>1817</v>
      </c>
      <c r="L584" s="97"/>
      <c r="M584" s="245" t="s">
        <v>796</v>
      </c>
      <c r="N584" s="349">
        <v>3622.68</v>
      </c>
      <c r="O584" s="349"/>
      <c r="Q584" s="245">
        <v>10</v>
      </c>
      <c r="R584" s="30">
        <f t="shared" si="69"/>
        <v>30.180666666666667</v>
      </c>
      <c r="S584" s="5">
        <v>2746.4406666666669</v>
      </c>
      <c r="T584" s="313">
        <f t="shared" si="70"/>
        <v>2776.6213333333335</v>
      </c>
      <c r="U584" s="15">
        <f t="shared" si="71"/>
        <v>30.180666666666639</v>
      </c>
      <c r="V584" s="313">
        <f t="shared" si="72"/>
        <v>846.05866666666634</v>
      </c>
      <c r="W584" s="245">
        <v>11040</v>
      </c>
      <c r="X584" s="312"/>
      <c r="Y584" s="313"/>
      <c r="Z584" s="114">
        <f t="shared" si="73"/>
        <v>92</v>
      </c>
    </row>
    <row r="585" spans="1:26" s="245" customFormat="1" x14ac:dyDescent="0.25">
      <c r="A585" s="245" t="s">
        <v>1987</v>
      </c>
      <c r="B585" s="245" t="s">
        <v>1971</v>
      </c>
      <c r="D585" s="245" t="s">
        <v>1969</v>
      </c>
      <c r="E585" s="97"/>
      <c r="F585" s="97" t="s">
        <v>1764</v>
      </c>
      <c r="G585" s="132" t="str">
        <f t="shared" si="68"/>
        <v>23/5/2008</v>
      </c>
      <c r="H585" s="245">
        <v>23</v>
      </c>
      <c r="I585" s="245">
        <v>5</v>
      </c>
      <c r="J585" s="245">
        <v>2008</v>
      </c>
      <c r="K585" s="245" t="s">
        <v>1817</v>
      </c>
      <c r="L585" s="97"/>
      <c r="M585" s="245" t="s">
        <v>796</v>
      </c>
      <c r="N585" s="349">
        <v>3622.68</v>
      </c>
      <c r="O585" s="349"/>
      <c r="Q585" s="245">
        <v>10</v>
      </c>
      <c r="R585" s="30">
        <f t="shared" si="69"/>
        <v>30.180666666666667</v>
      </c>
      <c r="S585" s="5">
        <v>2746.4406666666669</v>
      </c>
      <c r="T585" s="313">
        <f t="shared" si="70"/>
        <v>2776.6213333333335</v>
      </c>
      <c r="U585" s="15">
        <f t="shared" si="71"/>
        <v>30.180666666666639</v>
      </c>
      <c r="V585" s="313">
        <f t="shared" si="72"/>
        <v>846.05866666666634</v>
      </c>
      <c r="W585" s="245">
        <v>11040</v>
      </c>
      <c r="X585" s="312"/>
      <c r="Y585" s="313"/>
      <c r="Z585" s="114">
        <f t="shared" si="73"/>
        <v>92</v>
      </c>
    </row>
    <row r="586" spans="1:26" s="245" customFormat="1" x14ac:dyDescent="0.25">
      <c r="A586" s="245" t="s">
        <v>1988</v>
      </c>
      <c r="B586" s="245" t="s">
        <v>1971</v>
      </c>
      <c r="D586" s="245" t="s">
        <v>1969</v>
      </c>
      <c r="E586" s="97"/>
      <c r="F586" s="97" t="s">
        <v>1764</v>
      </c>
      <c r="G586" s="132" t="str">
        <f t="shared" si="68"/>
        <v>23/5/2008</v>
      </c>
      <c r="H586" s="245">
        <v>23</v>
      </c>
      <c r="I586" s="245">
        <v>5</v>
      </c>
      <c r="J586" s="245">
        <v>2008</v>
      </c>
      <c r="K586" s="245" t="s">
        <v>1817</v>
      </c>
      <c r="L586" s="97"/>
      <c r="M586" s="245" t="s">
        <v>796</v>
      </c>
      <c r="N586" s="349">
        <v>3622.68</v>
      </c>
      <c r="O586" s="349"/>
      <c r="Q586" s="245">
        <v>10</v>
      </c>
      <c r="R586" s="30">
        <f t="shared" si="69"/>
        <v>30.180666666666667</v>
      </c>
      <c r="S586" s="5">
        <v>2746.4406666666669</v>
      </c>
      <c r="T586" s="313">
        <f t="shared" si="70"/>
        <v>2776.6213333333335</v>
      </c>
      <c r="U586" s="15">
        <f t="shared" si="71"/>
        <v>30.180666666666639</v>
      </c>
      <c r="V586" s="313">
        <f t="shared" si="72"/>
        <v>846.05866666666634</v>
      </c>
      <c r="W586" s="245">
        <v>11040</v>
      </c>
      <c r="X586" s="312"/>
      <c r="Y586" s="313"/>
      <c r="Z586" s="114">
        <f t="shared" si="73"/>
        <v>92</v>
      </c>
    </row>
    <row r="587" spans="1:26" s="245" customFormat="1" x14ac:dyDescent="0.25">
      <c r="A587" s="245" t="s">
        <v>1989</v>
      </c>
      <c r="B587" s="245" t="s">
        <v>1971</v>
      </c>
      <c r="D587" s="245" t="s">
        <v>1969</v>
      </c>
      <c r="E587" s="97"/>
      <c r="F587" s="97" t="s">
        <v>1764</v>
      </c>
      <c r="G587" s="132" t="str">
        <f t="shared" si="68"/>
        <v>23/5/2008</v>
      </c>
      <c r="H587" s="245">
        <v>23</v>
      </c>
      <c r="I587" s="245">
        <v>5</v>
      </c>
      <c r="J587" s="245">
        <v>2008</v>
      </c>
      <c r="K587" s="245" t="s">
        <v>1817</v>
      </c>
      <c r="L587" s="97"/>
      <c r="M587" s="245" t="s">
        <v>796</v>
      </c>
      <c r="N587" s="349">
        <v>3622.68</v>
      </c>
      <c r="O587" s="349"/>
      <c r="Q587" s="245">
        <v>10</v>
      </c>
      <c r="R587" s="30">
        <f t="shared" si="69"/>
        <v>30.180666666666667</v>
      </c>
      <c r="S587" s="5">
        <v>2746.4406666666669</v>
      </c>
      <c r="T587" s="313">
        <f t="shared" si="70"/>
        <v>2776.6213333333335</v>
      </c>
      <c r="U587" s="15">
        <f t="shared" si="71"/>
        <v>30.180666666666639</v>
      </c>
      <c r="V587" s="313">
        <f t="shared" si="72"/>
        <v>846.05866666666634</v>
      </c>
      <c r="W587" s="245">
        <v>11040</v>
      </c>
      <c r="X587" s="312"/>
      <c r="Y587" s="313"/>
      <c r="Z587" s="114">
        <f t="shared" si="73"/>
        <v>92</v>
      </c>
    </row>
    <row r="588" spans="1:26" s="318" customFormat="1" x14ac:dyDescent="0.25">
      <c r="A588" s="318" t="s">
        <v>1990</v>
      </c>
      <c r="B588" s="318" t="s">
        <v>1991</v>
      </c>
      <c r="D588" s="318" t="s">
        <v>1992</v>
      </c>
      <c r="E588" s="148"/>
      <c r="F588" s="148" t="s">
        <v>1764</v>
      </c>
      <c r="G588" s="149" t="str">
        <f t="shared" si="68"/>
        <v>23/5/2008</v>
      </c>
      <c r="H588" s="318">
        <v>23</v>
      </c>
      <c r="I588" s="318">
        <v>5</v>
      </c>
      <c r="J588" s="318">
        <v>2008</v>
      </c>
      <c r="K588" s="318" t="s">
        <v>1817</v>
      </c>
      <c r="L588" s="148"/>
      <c r="M588" s="318" t="s">
        <v>796</v>
      </c>
      <c r="N588" s="356">
        <v>3836.12</v>
      </c>
      <c r="O588" s="356"/>
      <c r="Q588" s="318">
        <v>10</v>
      </c>
      <c r="R588" s="18">
        <f t="shared" si="69"/>
        <v>31.959333333333333</v>
      </c>
      <c r="S588" s="5">
        <v>2908.2993333333334</v>
      </c>
      <c r="T588" s="319">
        <f t="shared" si="70"/>
        <v>2940.2586666666666</v>
      </c>
      <c r="U588" s="555">
        <f t="shared" si="71"/>
        <v>31.959333333333234</v>
      </c>
      <c r="V588" s="319">
        <f t="shared" si="72"/>
        <v>895.86133333333328</v>
      </c>
      <c r="W588" s="318">
        <v>11040</v>
      </c>
      <c r="X588" s="320"/>
      <c r="Y588" s="319"/>
      <c r="Z588" s="155">
        <f t="shared" si="73"/>
        <v>92</v>
      </c>
    </row>
    <row r="589" spans="1:26" s="245" customFormat="1" x14ac:dyDescent="0.25">
      <c r="A589" s="245" t="s">
        <v>1993</v>
      </c>
      <c r="B589" s="245" t="s">
        <v>1991</v>
      </c>
      <c r="D589" s="245" t="s">
        <v>1992</v>
      </c>
      <c r="E589" s="97"/>
      <c r="F589" s="97" t="s">
        <v>1764</v>
      </c>
      <c r="G589" s="132" t="str">
        <f t="shared" si="68"/>
        <v>23/5/2008</v>
      </c>
      <c r="H589" s="245">
        <v>23</v>
      </c>
      <c r="I589" s="245">
        <v>5</v>
      </c>
      <c r="J589" s="245">
        <v>2008</v>
      </c>
      <c r="K589" s="245" t="s">
        <v>1817</v>
      </c>
      <c r="L589" s="97"/>
      <c r="M589" s="245" t="s">
        <v>796</v>
      </c>
      <c r="N589" s="349">
        <v>3836.12</v>
      </c>
      <c r="O589" s="349"/>
      <c r="Q589" s="245">
        <v>10</v>
      </c>
      <c r="R589" s="30">
        <f t="shared" si="69"/>
        <v>31.959333333333333</v>
      </c>
      <c r="S589" s="5">
        <v>2908.2993333333334</v>
      </c>
      <c r="T589" s="313">
        <f t="shared" si="70"/>
        <v>2940.2586666666666</v>
      </c>
      <c r="U589" s="15">
        <f t="shared" si="71"/>
        <v>31.959333333333234</v>
      </c>
      <c r="V589" s="313">
        <f t="shared" si="72"/>
        <v>895.86133333333328</v>
      </c>
      <c r="W589" s="245">
        <v>11040</v>
      </c>
      <c r="X589" s="312"/>
      <c r="Y589" s="313"/>
      <c r="Z589" s="114">
        <f t="shared" si="73"/>
        <v>92</v>
      </c>
    </row>
    <row r="590" spans="1:26" s="245" customFormat="1" x14ac:dyDescent="0.25">
      <c r="A590" s="245" t="s">
        <v>1994</v>
      </c>
      <c r="B590" s="245" t="s">
        <v>1995</v>
      </c>
      <c r="E590" s="97"/>
      <c r="F590" s="97" t="s">
        <v>1996</v>
      </c>
      <c r="G590" s="132" t="str">
        <f t="shared" si="68"/>
        <v>28/5/2008</v>
      </c>
      <c r="H590" s="245">
        <v>28</v>
      </c>
      <c r="I590" s="245">
        <v>5</v>
      </c>
      <c r="J590" s="245">
        <v>2008</v>
      </c>
      <c r="K590" s="245" t="s">
        <v>1817</v>
      </c>
      <c r="L590" s="97"/>
      <c r="M590" s="245" t="s">
        <v>796</v>
      </c>
      <c r="N590" s="349">
        <v>7698.5672442204677</v>
      </c>
      <c r="O590" s="349"/>
      <c r="Q590" s="245">
        <v>10</v>
      </c>
      <c r="R590" s="30">
        <f t="shared" si="69"/>
        <v>64.146393701837226</v>
      </c>
      <c r="S590" s="5">
        <v>5837.3218268671872</v>
      </c>
      <c r="T590" s="313">
        <f t="shared" si="70"/>
        <v>5901.4682205690251</v>
      </c>
      <c r="U590" s="15">
        <f t="shared" si="71"/>
        <v>64.146393701837951</v>
      </c>
      <c r="V590" s="313">
        <f t="shared" si="72"/>
        <v>1797.0990236514426</v>
      </c>
      <c r="W590" s="245">
        <v>11055</v>
      </c>
      <c r="X590" s="312"/>
      <c r="Y590" s="313"/>
      <c r="Z590" s="114">
        <f t="shared" si="73"/>
        <v>92</v>
      </c>
    </row>
    <row r="591" spans="1:26" s="245" customFormat="1" x14ac:dyDescent="0.25">
      <c r="A591" s="245" t="s">
        <v>1997</v>
      </c>
      <c r="B591" s="245" t="s">
        <v>1995</v>
      </c>
      <c r="E591" s="97"/>
      <c r="F591" s="97" t="s">
        <v>1996</v>
      </c>
      <c r="G591" s="132" t="str">
        <f t="shared" si="68"/>
        <v>28/5/2008</v>
      </c>
      <c r="H591" s="245">
        <v>28</v>
      </c>
      <c r="I591" s="245">
        <v>5</v>
      </c>
      <c r="J591" s="245">
        <v>2008</v>
      </c>
      <c r="K591" s="245" t="s">
        <v>1817</v>
      </c>
      <c r="L591" s="97"/>
      <c r="M591" s="245" t="s">
        <v>1998</v>
      </c>
      <c r="N591" s="349">
        <v>7698.5672442204677</v>
      </c>
      <c r="O591" s="349"/>
      <c r="Q591" s="245">
        <v>10</v>
      </c>
      <c r="R591" s="30">
        <f t="shared" si="69"/>
        <v>64.146393701837226</v>
      </c>
      <c r="S591" s="5">
        <v>5837.3218268671872</v>
      </c>
      <c r="T591" s="313">
        <f t="shared" si="70"/>
        <v>5901.4682205690251</v>
      </c>
      <c r="U591" s="15">
        <f t="shared" si="71"/>
        <v>64.146393701837951</v>
      </c>
      <c r="V591" s="313">
        <f t="shared" si="72"/>
        <v>1797.0990236514426</v>
      </c>
      <c r="X591" s="312"/>
      <c r="Y591" s="313"/>
      <c r="Z591" s="114">
        <f t="shared" si="73"/>
        <v>92</v>
      </c>
    </row>
    <row r="592" spans="1:26" s="245" customFormat="1" x14ac:dyDescent="0.25">
      <c r="A592" s="245" t="s">
        <v>1999</v>
      </c>
      <c r="B592" s="245" t="s">
        <v>1995</v>
      </c>
      <c r="E592" s="97"/>
      <c r="F592" s="97" t="s">
        <v>1996</v>
      </c>
      <c r="G592" s="132" t="str">
        <f t="shared" si="68"/>
        <v>28/5/2008</v>
      </c>
      <c r="H592" s="245">
        <v>28</v>
      </c>
      <c r="I592" s="245">
        <v>5</v>
      </c>
      <c r="J592" s="245">
        <v>2008</v>
      </c>
      <c r="K592" s="245" t="s">
        <v>1817</v>
      </c>
      <c r="L592" s="97"/>
      <c r="M592" s="245" t="s">
        <v>2000</v>
      </c>
      <c r="N592" s="349">
        <v>7698.5672442204677</v>
      </c>
      <c r="O592" s="349"/>
      <c r="Q592" s="245">
        <v>10</v>
      </c>
      <c r="R592" s="30">
        <f t="shared" si="69"/>
        <v>64.146393701837226</v>
      </c>
      <c r="S592" s="5">
        <v>5837.3218268671872</v>
      </c>
      <c r="T592" s="313">
        <f t="shared" si="70"/>
        <v>5901.4682205690251</v>
      </c>
      <c r="U592" s="15">
        <f t="shared" si="71"/>
        <v>64.146393701837951</v>
      </c>
      <c r="V592" s="313">
        <f t="shared" si="72"/>
        <v>1797.0990236514426</v>
      </c>
      <c r="X592" s="312"/>
      <c r="Y592" s="313"/>
      <c r="Z592" s="114">
        <f t="shared" si="73"/>
        <v>92</v>
      </c>
    </row>
    <row r="593" spans="1:26" s="245" customFormat="1" x14ac:dyDescent="0.25">
      <c r="A593" s="245" t="s">
        <v>2001</v>
      </c>
      <c r="B593" s="245" t="s">
        <v>1995</v>
      </c>
      <c r="E593" s="97"/>
      <c r="F593" s="97" t="s">
        <v>1996</v>
      </c>
      <c r="G593" s="132" t="str">
        <f t="shared" si="68"/>
        <v>28/5/2008</v>
      </c>
      <c r="H593" s="245">
        <v>28</v>
      </c>
      <c r="I593" s="245">
        <v>5</v>
      </c>
      <c r="J593" s="245">
        <v>2008</v>
      </c>
      <c r="K593" s="245" t="s">
        <v>1817</v>
      </c>
      <c r="L593" s="97"/>
      <c r="M593" s="245" t="s">
        <v>2002</v>
      </c>
      <c r="N593" s="349">
        <v>7698.5672442204677</v>
      </c>
      <c r="O593" s="349"/>
      <c r="Q593" s="245">
        <v>10</v>
      </c>
      <c r="R593" s="30">
        <f t="shared" si="69"/>
        <v>64.146393701837226</v>
      </c>
      <c r="S593" s="5">
        <v>5837.3218268671872</v>
      </c>
      <c r="T593" s="313">
        <f t="shared" si="70"/>
        <v>5901.4682205690251</v>
      </c>
      <c r="U593" s="15">
        <f t="shared" si="71"/>
        <v>64.146393701837951</v>
      </c>
      <c r="V593" s="313">
        <f t="shared" si="72"/>
        <v>1797.0990236514426</v>
      </c>
      <c r="X593" s="312"/>
      <c r="Y593" s="313"/>
      <c r="Z593" s="114">
        <f t="shared" si="73"/>
        <v>92</v>
      </c>
    </row>
    <row r="594" spans="1:26" s="245" customFormat="1" x14ac:dyDescent="0.25">
      <c r="A594" s="245" t="s">
        <v>2003</v>
      </c>
      <c r="B594" s="245" t="s">
        <v>1995</v>
      </c>
      <c r="E594" s="97"/>
      <c r="F594" s="97" t="s">
        <v>1996</v>
      </c>
      <c r="G594" s="132" t="str">
        <f t="shared" si="68"/>
        <v>28/5/2008</v>
      </c>
      <c r="H594" s="245">
        <v>28</v>
      </c>
      <c r="I594" s="245">
        <v>5</v>
      </c>
      <c r="J594" s="245">
        <v>2008</v>
      </c>
      <c r="K594" s="245" t="s">
        <v>1817</v>
      </c>
      <c r="L594" s="97"/>
      <c r="M594" s="245" t="s">
        <v>2004</v>
      </c>
      <c r="N594" s="349">
        <v>7698.5672442204677</v>
      </c>
      <c r="O594" s="349"/>
      <c r="Q594" s="245">
        <v>10</v>
      </c>
      <c r="R594" s="30">
        <f t="shared" si="69"/>
        <v>64.146393701837226</v>
      </c>
      <c r="S594" s="5">
        <v>5837.3218268671872</v>
      </c>
      <c r="T594" s="313">
        <f t="shared" si="70"/>
        <v>5901.4682205690251</v>
      </c>
      <c r="U594" s="15">
        <f t="shared" si="71"/>
        <v>64.146393701837951</v>
      </c>
      <c r="V594" s="313">
        <f t="shared" si="72"/>
        <v>1797.0990236514426</v>
      </c>
      <c r="X594" s="312"/>
      <c r="Y594" s="313"/>
      <c r="Z594" s="114">
        <f t="shared" si="73"/>
        <v>92</v>
      </c>
    </row>
    <row r="595" spans="1:26" s="245" customFormat="1" x14ac:dyDescent="0.25">
      <c r="A595" s="245" t="s">
        <v>2005</v>
      </c>
      <c r="B595" s="245" t="s">
        <v>2006</v>
      </c>
      <c r="E595" s="97"/>
      <c r="F595" s="97" t="s">
        <v>1996</v>
      </c>
      <c r="G595" s="132" t="str">
        <f t="shared" si="68"/>
        <v>28/5/2008</v>
      </c>
      <c r="H595" s="245">
        <v>28</v>
      </c>
      <c r="I595" s="245">
        <v>5</v>
      </c>
      <c r="J595" s="245">
        <v>2008</v>
      </c>
      <c r="K595" s="245" t="s">
        <v>1817</v>
      </c>
      <c r="L595" s="97"/>
      <c r="M595" s="245" t="s">
        <v>796</v>
      </c>
      <c r="N595" s="349">
        <v>6686.7555492657775</v>
      </c>
      <c r="O595" s="349"/>
      <c r="Q595" s="245">
        <v>10</v>
      </c>
      <c r="R595" s="30">
        <f t="shared" si="69"/>
        <v>55.714629577214815</v>
      </c>
      <c r="S595" s="5">
        <v>5070.0312915265486</v>
      </c>
      <c r="T595" s="313">
        <f t="shared" si="70"/>
        <v>5125.7459211037631</v>
      </c>
      <c r="U595" s="15">
        <f t="shared" si="71"/>
        <v>55.714629577214509</v>
      </c>
      <c r="V595" s="313">
        <f t="shared" si="72"/>
        <v>1561.0096281620145</v>
      </c>
      <c r="W595" s="245">
        <v>11055</v>
      </c>
      <c r="X595" s="312"/>
      <c r="Y595" s="313"/>
      <c r="Z595" s="114">
        <f t="shared" si="73"/>
        <v>92</v>
      </c>
    </row>
    <row r="596" spans="1:26" s="245" customFormat="1" x14ac:dyDescent="0.25">
      <c r="A596" s="245" t="s">
        <v>2007</v>
      </c>
      <c r="B596" s="245" t="s">
        <v>2008</v>
      </c>
      <c r="E596" s="97"/>
      <c r="F596" s="97" t="s">
        <v>1996</v>
      </c>
      <c r="G596" s="132" t="str">
        <f t="shared" si="68"/>
        <v>28/5/2008</v>
      </c>
      <c r="H596" s="245">
        <v>28</v>
      </c>
      <c r="I596" s="245">
        <v>5</v>
      </c>
      <c r="J596" s="245">
        <v>2008</v>
      </c>
      <c r="K596" s="245" t="s">
        <v>1817</v>
      </c>
      <c r="L596" s="97"/>
      <c r="M596" s="245" t="s">
        <v>796</v>
      </c>
      <c r="N596" s="349">
        <v>7918.5263083410528</v>
      </c>
      <c r="O596" s="349"/>
      <c r="Q596" s="245">
        <v>10</v>
      </c>
      <c r="R596" s="30">
        <f t="shared" si="69"/>
        <v>65.979385902842111</v>
      </c>
      <c r="S596" s="5">
        <v>6004.1241171586325</v>
      </c>
      <c r="T596" s="313">
        <f t="shared" si="70"/>
        <v>6070.1035030614739</v>
      </c>
      <c r="U596" s="15">
        <f t="shared" si="71"/>
        <v>65.979385902841386</v>
      </c>
      <c r="V596" s="313">
        <f t="shared" si="72"/>
        <v>1848.4228052795788</v>
      </c>
      <c r="W596" s="245">
        <v>11055</v>
      </c>
      <c r="X596" s="312"/>
      <c r="Y596" s="313"/>
      <c r="Z596" s="114">
        <f t="shared" si="73"/>
        <v>92</v>
      </c>
    </row>
    <row r="597" spans="1:26" s="245" customFormat="1" x14ac:dyDescent="0.25">
      <c r="A597" s="245" t="s">
        <v>2009</v>
      </c>
      <c r="B597" s="245" t="s">
        <v>2008</v>
      </c>
      <c r="E597" s="97"/>
      <c r="F597" s="97" t="s">
        <v>1996</v>
      </c>
      <c r="G597" s="132" t="str">
        <f t="shared" si="68"/>
        <v>28/5/2008</v>
      </c>
      <c r="H597" s="245">
        <v>28</v>
      </c>
      <c r="I597" s="245">
        <v>5</v>
      </c>
      <c r="J597" s="245">
        <v>2008</v>
      </c>
      <c r="K597" s="245" t="s">
        <v>1817</v>
      </c>
      <c r="L597" s="97"/>
      <c r="M597" s="245" t="s">
        <v>796</v>
      </c>
      <c r="N597" s="349">
        <v>7918.5263083410528</v>
      </c>
      <c r="O597" s="349"/>
      <c r="Q597" s="245">
        <v>10</v>
      </c>
      <c r="R597" s="30">
        <f t="shared" si="69"/>
        <v>65.979385902842111</v>
      </c>
      <c r="S597" s="5">
        <v>6004.1241171586325</v>
      </c>
      <c r="T597" s="313">
        <f t="shared" si="70"/>
        <v>6070.1035030614739</v>
      </c>
      <c r="U597" s="15">
        <f t="shared" si="71"/>
        <v>65.979385902841386</v>
      </c>
      <c r="V597" s="313">
        <f t="shared" si="72"/>
        <v>1848.4228052795788</v>
      </c>
      <c r="X597" s="312"/>
      <c r="Y597" s="313"/>
      <c r="Z597" s="114">
        <f t="shared" si="73"/>
        <v>92</v>
      </c>
    </row>
    <row r="598" spans="1:26" s="245" customFormat="1" x14ac:dyDescent="0.25">
      <c r="A598" s="245" t="s">
        <v>2010</v>
      </c>
      <c r="B598" s="245" t="s">
        <v>2011</v>
      </c>
      <c r="E598" s="97"/>
      <c r="F598" s="97" t="s">
        <v>1996</v>
      </c>
      <c r="G598" s="132" t="str">
        <f t="shared" si="68"/>
        <v>28/5/2008</v>
      </c>
      <c r="H598" s="245">
        <v>28</v>
      </c>
      <c r="I598" s="245">
        <v>5</v>
      </c>
      <c r="J598" s="245">
        <v>2008</v>
      </c>
      <c r="K598" s="245" t="s">
        <v>1817</v>
      </c>
      <c r="L598" s="97"/>
      <c r="M598" s="245" t="s">
        <v>796</v>
      </c>
      <c r="N598" s="349">
        <v>6686.7555492657775</v>
      </c>
      <c r="O598" s="349"/>
      <c r="Q598" s="245">
        <v>10</v>
      </c>
      <c r="R598" s="30">
        <f t="shared" si="69"/>
        <v>55.714629577214815</v>
      </c>
      <c r="S598" s="5">
        <v>5070.0312915265486</v>
      </c>
      <c r="T598" s="313">
        <f t="shared" si="70"/>
        <v>5125.7459211037631</v>
      </c>
      <c r="U598" s="15">
        <f t="shared" si="71"/>
        <v>55.714629577214509</v>
      </c>
      <c r="V598" s="313">
        <f t="shared" si="72"/>
        <v>1561.0096281620145</v>
      </c>
      <c r="W598" s="245">
        <v>11055</v>
      </c>
      <c r="X598" s="312"/>
      <c r="Y598" s="313"/>
      <c r="Z598" s="114">
        <f t="shared" si="73"/>
        <v>92</v>
      </c>
    </row>
    <row r="599" spans="1:26" s="245" customFormat="1" x14ac:dyDescent="0.25">
      <c r="A599" s="245" t="s">
        <v>2012</v>
      </c>
      <c r="B599" s="245" t="s">
        <v>2013</v>
      </c>
      <c r="E599" s="97"/>
      <c r="F599" s="97" t="s">
        <v>1996</v>
      </c>
      <c r="G599" s="132" t="str">
        <f t="shared" si="68"/>
        <v>28/5/2008</v>
      </c>
      <c r="H599" s="245">
        <v>28</v>
      </c>
      <c r="I599" s="245">
        <v>5</v>
      </c>
      <c r="J599" s="245">
        <v>2008</v>
      </c>
      <c r="K599" s="245" t="s">
        <v>1817</v>
      </c>
      <c r="L599" s="97"/>
      <c r="M599" s="245" t="s">
        <v>796</v>
      </c>
      <c r="N599" s="349">
        <v>7522.5999929240006</v>
      </c>
      <c r="O599" s="349"/>
      <c r="Q599" s="245">
        <v>10</v>
      </c>
      <c r="R599" s="30">
        <f t="shared" si="69"/>
        <v>62.679999941033337</v>
      </c>
      <c r="S599" s="5">
        <v>5703.8799946340341</v>
      </c>
      <c r="T599" s="313">
        <f t="shared" si="70"/>
        <v>5766.5599945750673</v>
      </c>
      <c r="U599" s="15">
        <f t="shared" si="71"/>
        <v>62.679999941033202</v>
      </c>
      <c r="V599" s="313">
        <f t="shared" si="72"/>
        <v>1756.0399983489333</v>
      </c>
      <c r="W599" s="245">
        <v>11055</v>
      </c>
      <c r="X599" s="312"/>
      <c r="Y599" s="313"/>
      <c r="Z599" s="114">
        <f t="shared" si="73"/>
        <v>92</v>
      </c>
    </row>
    <row r="600" spans="1:26" s="245" customFormat="1" x14ac:dyDescent="0.25">
      <c r="A600" s="245" t="s">
        <v>2014</v>
      </c>
      <c r="B600" s="245" t="s">
        <v>2013</v>
      </c>
      <c r="E600" s="97"/>
      <c r="F600" s="97" t="s">
        <v>1996</v>
      </c>
      <c r="G600" s="132" t="str">
        <f t="shared" si="68"/>
        <v>28/5/2008</v>
      </c>
      <c r="H600" s="245">
        <v>28</v>
      </c>
      <c r="I600" s="245">
        <v>5</v>
      </c>
      <c r="J600" s="245">
        <v>2008</v>
      </c>
      <c r="K600" s="245" t="s">
        <v>1817</v>
      </c>
      <c r="L600" s="97"/>
      <c r="M600" s="245" t="s">
        <v>796</v>
      </c>
      <c r="N600" s="349">
        <v>7522.5999929240006</v>
      </c>
      <c r="O600" s="349"/>
      <c r="Q600" s="245">
        <v>10</v>
      </c>
      <c r="R600" s="30">
        <f t="shared" si="69"/>
        <v>62.679999941033337</v>
      </c>
      <c r="S600" s="5">
        <v>5703.8799946340341</v>
      </c>
      <c r="T600" s="313">
        <f t="shared" si="70"/>
        <v>5766.5599945750673</v>
      </c>
      <c r="U600" s="15">
        <f t="shared" si="71"/>
        <v>62.679999941033202</v>
      </c>
      <c r="V600" s="313">
        <f t="shared" si="72"/>
        <v>1756.0399983489333</v>
      </c>
      <c r="X600" s="312"/>
      <c r="Y600" s="313"/>
      <c r="Z600" s="114">
        <f t="shared" si="73"/>
        <v>92</v>
      </c>
    </row>
    <row r="601" spans="1:26" s="351" customFormat="1" x14ac:dyDescent="0.25">
      <c r="A601" s="351" t="s">
        <v>2015</v>
      </c>
      <c r="B601" s="351" t="s">
        <v>2016</v>
      </c>
      <c r="E601" s="222"/>
      <c r="F601" s="222" t="s">
        <v>537</v>
      </c>
      <c r="G601" s="223" t="str">
        <f t="shared" si="68"/>
        <v>30/9/2008</v>
      </c>
      <c r="H601" s="351">
        <v>30</v>
      </c>
      <c r="I601" s="351">
        <v>9</v>
      </c>
      <c r="J601" s="351">
        <v>2008</v>
      </c>
      <c r="K601" s="351" t="s">
        <v>420</v>
      </c>
      <c r="L601" s="222"/>
      <c r="M601" s="351" t="s">
        <v>796</v>
      </c>
      <c r="N601" s="352">
        <v>4905</v>
      </c>
      <c r="O601" s="352" t="s">
        <v>2017</v>
      </c>
      <c r="Q601" s="245">
        <v>10</v>
      </c>
      <c r="R601" s="224">
        <f t="shared" si="69"/>
        <v>40.866666666666667</v>
      </c>
      <c r="S601" s="5">
        <v>3555.4</v>
      </c>
      <c r="T601" s="353">
        <f t="shared" si="70"/>
        <v>3596.2666666666669</v>
      </c>
      <c r="U601" s="15">
        <f t="shared" si="71"/>
        <v>40.866666666666788</v>
      </c>
      <c r="V601" s="353">
        <f t="shared" si="72"/>
        <v>1308.7333333333331</v>
      </c>
      <c r="X601" s="354"/>
      <c r="Y601" s="353"/>
      <c r="Z601" s="225">
        <f t="shared" si="73"/>
        <v>88</v>
      </c>
    </row>
    <row r="602" spans="1:26" s="245" customFormat="1" x14ac:dyDescent="0.25">
      <c r="A602" s="245" t="s">
        <v>2018</v>
      </c>
      <c r="B602" s="245" t="s">
        <v>2019</v>
      </c>
      <c r="D602" s="245" t="s">
        <v>2020</v>
      </c>
      <c r="E602" s="97"/>
      <c r="F602" s="97" t="s">
        <v>2021</v>
      </c>
      <c r="G602" s="132" t="str">
        <f t="shared" si="68"/>
        <v>17/6/2008</v>
      </c>
      <c r="H602" s="245">
        <v>17</v>
      </c>
      <c r="I602" s="245">
        <v>6</v>
      </c>
      <c r="J602" s="245">
        <v>2008</v>
      </c>
      <c r="K602" s="245" t="s">
        <v>1765</v>
      </c>
      <c r="L602" s="97"/>
      <c r="M602" s="245" t="s">
        <v>796</v>
      </c>
      <c r="N602" s="349">
        <v>21895</v>
      </c>
      <c r="O602" s="349"/>
      <c r="Q602" s="245">
        <v>10</v>
      </c>
      <c r="R602" s="30">
        <f t="shared" si="69"/>
        <v>182.45000000000002</v>
      </c>
      <c r="S602" s="5">
        <v>16420.5</v>
      </c>
      <c r="T602" s="313">
        <f t="shared" si="70"/>
        <v>16602.95</v>
      </c>
      <c r="U602" s="15">
        <f t="shared" si="71"/>
        <v>182.45000000000073</v>
      </c>
      <c r="V602" s="313">
        <f t="shared" si="72"/>
        <v>5292.0499999999993</v>
      </c>
      <c r="W602" s="245">
        <v>11121</v>
      </c>
      <c r="X602" s="312"/>
      <c r="Y602" s="313"/>
      <c r="Z602" s="114">
        <f t="shared" si="73"/>
        <v>91</v>
      </c>
    </row>
    <row r="603" spans="1:26" s="318" customFormat="1" x14ac:dyDescent="0.25">
      <c r="A603" s="318" t="s">
        <v>2022</v>
      </c>
      <c r="B603" s="318" t="s">
        <v>2023</v>
      </c>
      <c r="E603" s="148"/>
      <c r="F603" s="148" t="s">
        <v>2021</v>
      </c>
      <c r="G603" s="149" t="str">
        <f t="shared" si="68"/>
        <v>22/9/2008</v>
      </c>
      <c r="H603" s="318">
        <v>22</v>
      </c>
      <c r="I603" s="355">
        <v>9</v>
      </c>
      <c r="J603" s="318">
        <v>2008</v>
      </c>
      <c r="K603" s="318" t="s">
        <v>420</v>
      </c>
      <c r="L603" s="148"/>
      <c r="M603" s="318" t="s">
        <v>796</v>
      </c>
      <c r="N603" s="356">
        <v>5301.95</v>
      </c>
      <c r="O603" s="356"/>
      <c r="Q603" s="245">
        <v>10</v>
      </c>
      <c r="R603" s="18">
        <f t="shared" si="69"/>
        <v>44.174583333333338</v>
      </c>
      <c r="S603" s="5">
        <v>3843.1887500000003</v>
      </c>
      <c r="T603" s="319">
        <f t="shared" si="70"/>
        <v>3887.3633333333337</v>
      </c>
      <c r="U603" s="15">
        <f t="shared" si="71"/>
        <v>44.17458333333343</v>
      </c>
      <c r="V603" s="319">
        <f t="shared" si="72"/>
        <v>1414.5866666666661</v>
      </c>
      <c r="X603" s="320"/>
      <c r="Y603" s="319"/>
      <c r="Z603" s="155">
        <f t="shared" si="73"/>
        <v>88</v>
      </c>
    </row>
    <row r="604" spans="1:26" s="245" customFormat="1" x14ac:dyDescent="0.25">
      <c r="A604" s="334" t="s">
        <v>2024</v>
      </c>
      <c r="B604" s="334" t="s">
        <v>2025</v>
      </c>
      <c r="C604" s="334"/>
      <c r="D604" s="334"/>
      <c r="E604" s="172"/>
      <c r="F604" s="172" t="s">
        <v>2026</v>
      </c>
      <c r="G604" s="173" t="str">
        <f t="shared" si="68"/>
        <v>24/6/2008</v>
      </c>
      <c r="H604" s="334">
        <v>24</v>
      </c>
      <c r="I604" s="334">
        <v>6</v>
      </c>
      <c r="J604" s="334">
        <v>2008</v>
      </c>
      <c r="K604" s="334" t="s">
        <v>1765</v>
      </c>
      <c r="L604" s="172"/>
      <c r="M604" s="245" t="s">
        <v>796</v>
      </c>
      <c r="N604" s="350">
        <v>3788.7652800803935</v>
      </c>
      <c r="O604" s="350"/>
      <c r="P604" s="334"/>
      <c r="Q604" s="334">
        <v>10</v>
      </c>
      <c r="R604" s="178">
        <f t="shared" si="69"/>
        <v>31.564710667336612</v>
      </c>
      <c r="S604" s="570">
        <v>2840.8239600602951</v>
      </c>
      <c r="T604" s="335">
        <f t="shared" si="70"/>
        <v>2872.3886707276315</v>
      </c>
      <c r="U604" s="572">
        <f t="shared" si="71"/>
        <v>31.564710667336385</v>
      </c>
      <c r="V604" s="335">
        <f t="shared" si="72"/>
        <v>916.37660935276199</v>
      </c>
      <c r="W604" s="334">
        <v>11148</v>
      </c>
      <c r="X604" s="312"/>
      <c r="Y604" s="313"/>
      <c r="Z604" s="114">
        <f t="shared" si="73"/>
        <v>91</v>
      </c>
    </row>
    <row r="605" spans="1:26" s="245" customFormat="1" x14ac:dyDescent="0.25">
      <c r="A605" s="334" t="s">
        <v>2027</v>
      </c>
      <c r="B605" s="334" t="s">
        <v>2028</v>
      </c>
      <c r="C605" s="334"/>
      <c r="D605" s="334"/>
      <c r="E605" s="172"/>
      <c r="F605" s="172" t="s">
        <v>2026</v>
      </c>
      <c r="G605" s="173" t="str">
        <f t="shared" si="68"/>
        <v>24/6/2008</v>
      </c>
      <c r="H605" s="334">
        <v>24</v>
      </c>
      <c r="I605" s="334">
        <v>6</v>
      </c>
      <c r="J605" s="334">
        <v>2008</v>
      </c>
      <c r="K605" s="334" t="s">
        <v>1765</v>
      </c>
      <c r="L605" s="172"/>
      <c r="M605" s="245" t="s">
        <v>796</v>
      </c>
      <c r="N605" s="350">
        <v>7911.5626258117472</v>
      </c>
      <c r="O605" s="350" t="s">
        <v>2029</v>
      </c>
      <c r="P605" s="334"/>
      <c r="Q605" s="334">
        <v>10</v>
      </c>
      <c r="R605" s="178">
        <f t="shared" si="69"/>
        <v>65.92135521509789</v>
      </c>
      <c r="S605" s="570">
        <v>5932.9219693588102</v>
      </c>
      <c r="T605" s="335">
        <f t="shared" si="70"/>
        <v>5998.8433245739079</v>
      </c>
      <c r="U605" s="572">
        <f t="shared" si="71"/>
        <v>65.921355215097719</v>
      </c>
      <c r="V605" s="335">
        <f t="shared" si="72"/>
        <v>1912.7193012378393</v>
      </c>
      <c r="W605" s="334">
        <v>11148</v>
      </c>
      <c r="X605" s="312"/>
      <c r="Y605" s="313"/>
      <c r="Z605" s="114">
        <f t="shared" si="73"/>
        <v>91</v>
      </c>
    </row>
    <row r="606" spans="1:26" s="245" customFormat="1" x14ac:dyDescent="0.25">
      <c r="A606" s="334" t="s">
        <v>2030</v>
      </c>
      <c r="B606" s="334" t="s">
        <v>2031</v>
      </c>
      <c r="C606" s="334"/>
      <c r="D606" s="334"/>
      <c r="E606" s="172"/>
      <c r="F606" s="172" t="s">
        <v>2026</v>
      </c>
      <c r="G606" s="173" t="str">
        <f t="shared" ref="G606:G656" si="74">CONCATENATE(H606,"/",I606,"/",J606,)</f>
        <v>24/6/2008</v>
      </c>
      <c r="H606" s="334">
        <v>24</v>
      </c>
      <c r="I606" s="334">
        <v>6</v>
      </c>
      <c r="J606" s="334">
        <v>2008</v>
      </c>
      <c r="K606" s="334" t="s">
        <v>1765</v>
      </c>
      <c r="L606" s="172"/>
      <c r="M606" s="245" t="s">
        <v>796</v>
      </c>
      <c r="N606" s="350">
        <v>6353.1846817314754</v>
      </c>
      <c r="O606" s="350"/>
      <c r="P606" s="334"/>
      <c r="Q606" s="334">
        <v>10</v>
      </c>
      <c r="R606" s="178">
        <f t="shared" ref="R606:R656" si="75">(((N606)-1)/10)/12</f>
        <v>52.934872347762301</v>
      </c>
      <c r="S606" s="570">
        <v>4764.1385112986072</v>
      </c>
      <c r="T606" s="335">
        <f t="shared" ref="T606:T656" si="76">Z606*R606</f>
        <v>4817.0733836463696</v>
      </c>
      <c r="U606" s="572">
        <f t="shared" ref="U606:U656" si="77">T606-S606</f>
        <v>52.934872347762393</v>
      </c>
      <c r="V606" s="335">
        <f t="shared" ref="V606:V656" si="78">N606-T606</f>
        <v>1536.1112980851058</v>
      </c>
      <c r="W606" s="334">
        <v>11148</v>
      </c>
      <c r="X606" s="312"/>
      <c r="Y606" s="313"/>
      <c r="Z606" s="114">
        <f t="shared" ref="Z606:Z656" si="79">IF((DATEDIF(G606,Z$4,"m"))&gt;=120,120,(DATEDIF(G606,Z$4,"m")))</f>
        <v>91</v>
      </c>
    </row>
    <row r="607" spans="1:26" s="245" customFormat="1" x14ac:dyDescent="0.25">
      <c r="A607" s="334" t="s">
        <v>2032</v>
      </c>
      <c r="B607" s="334" t="s">
        <v>2033</v>
      </c>
      <c r="C607" s="334"/>
      <c r="D607" s="334"/>
      <c r="E607" s="172"/>
      <c r="F607" s="172" t="s">
        <v>2026</v>
      </c>
      <c r="G607" s="173" t="str">
        <f t="shared" si="74"/>
        <v>24/6/2008</v>
      </c>
      <c r="H607" s="334">
        <v>24</v>
      </c>
      <c r="I607" s="334">
        <v>6</v>
      </c>
      <c r="J607" s="334">
        <v>2008</v>
      </c>
      <c r="K607" s="334" t="s">
        <v>1765</v>
      </c>
      <c r="L607" s="172"/>
      <c r="M607" s="245" t="s">
        <v>796</v>
      </c>
      <c r="N607" s="350">
        <v>4868.4516025191306</v>
      </c>
      <c r="O607" s="350"/>
      <c r="P607" s="334"/>
      <c r="Q607" s="334">
        <v>10</v>
      </c>
      <c r="R607" s="178">
        <f t="shared" si="75"/>
        <v>40.56209668765942</v>
      </c>
      <c r="S607" s="570">
        <v>3650.5887018893477</v>
      </c>
      <c r="T607" s="335">
        <f t="shared" si="76"/>
        <v>3691.1507985770072</v>
      </c>
      <c r="U607" s="572">
        <f t="shared" si="77"/>
        <v>40.562096687659505</v>
      </c>
      <c r="V607" s="335">
        <f t="shared" si="78"/>
        <v>1177.3008039421234</v>
      </c>
      <c r="W607" s="334">
        <v>11148</v>
      </c>
      <c r="X607" s="312"/>
      <c r="Y607" s="313"/>
      <c r="Z607" s="114">
        <f t="shared" si="79"/>
        <v>91</v>
      </c>
    </row>
    <row r="608" spans="1:26" s="245" customFormat="1" x14ac:dyDescent="0.25">
      <c r="A608" s="334" t="s">
        <v>2034</v>
      </c>
      <c r="B608" s="334" t="s">
        <v>2035</v>
      </c>
      <c r="C608" s="334"/>
      <c r="D608" s="334"/>
      <c r="E608" s="172"/>
      <c r="F608" s="172" t="s">
        <v>2026</v>
      </c>
      <c r="G608" s="173" t="str">
        <f t="shared" si="74"/>
        <v>24/6/2008</v>
      </c>
      <c r="H608" s="334">
        <v>24</v>
      </c>
      <c r="I608" s="334">
        <v>6</v>
      </c>
      <c r="J608" s="334">
        <v>2008</v>
      </c>
      <c r="K608" s="334" t="s">
        <v>1765</v>
      </c>
      <c r="L608" s="172"/>
      <c r="M608" s="245" t="s">
        <v>796</v>
      </c>
      <c r="N608" s="350">
        <v>14331.816738047944</v>
      </c>
      <c r="O608" s="350"/>
      <c r="P608" s="334"/>
      <c r="Q608" s="334">
        <v>10</v>
      </c>
      <c r="R608" s="178">
        <f t="shared" si="75"/>
        <v>119.42347281706621</v>
      </c>
      <c r="S608" s="570">
        <v>10748.112553535959</v>
      </c>
      <c r="T608" s="335">
        <f t="shared" si="76"/>
        <v>10867.536026353026</v>
      </c>
      <c r="U608" s="572">
        <f t="shared" si="77"/>
        <v>119.42347281706679</v>
      </c>
      <c r="V608" s="335">
        <f t="shared" si="78"/>
        <v>3464.2807116949189</v>
      </c>
      <c r="W608" s="334">
        <v>11148</v>
      </c>
      <c r="X608" s="312"/>
      <c r="Y608" s="313"/>
      <c r="Z608" s="114">
        <f t="shared" si="79"/>
        <v>91</v>
      </c>
    </row>
    <row r="609" spans="1:26" s="245" customFormat="1" x14ac:dyDescent="0.25">
      <c r="A609" s="334" t="s">
        <v>2036</v>
      </c>
      <c r="B609" s="334" t="s">
        <v>2037</v>
      </c>
      <c r="C609" s="334"/>
      <c r="D609" s="334"/>
      <c r="E609" s="172"/>
      <c r="F609" s="172" t="s">
        <v>2026</v>
      </c>
      <c r="G609" s="173" t="str">
        <f t="shared" si="74"/>
        <v>24/6/2008</v>
      </c>
      <c r="H609" s="334">
        <v>24</v>
      </c>
      <c r="I609" s="334">
        <v>6</v>
      </c>
      <c r="J609" s="334">
        <v>2008</v>
      </c>
      <c r="K609" s="334" t="s">
        <v>1765</v>
      </c>
      <c r="L609" s="172"/>
      <c r="M609" s="245" t="s">
        <v>796</v>
      </c>
      <c r="N609" s="350">
        <v>5391.8561778304793</v>
      </c>
      <c r="O609" s="350" t="s">
        <v>2029</v>
      </c>
      <c r="P609" s="334"/>
      <c r="Q609" s="334">
        <v>10</v>
      </c>
      <c r="R609" s="178">
        <f t="shared" si="75"/>
        <v>44.923801481920663</v>
      </c>
      <c r="S609" s="570">
        <v>4043.1421333728595</v>
      </c>
      <c r="T609" s="335">
        <f t="shared" si="76"/>
        <v>4088.0659348547802</v>
      </c>
      <c r="U609" s="572">
        <f t="shared" si="77"/>
        <v>44.923801481920691</v>
      </c>
      <c r="V609" s="335">
        <f t="shared" si="78"/>
        <v>1303.7902429756991</v>
      </c>
      <c r="W609" s="334">
        <v>11148</v>
      </c>
      <c r="X609" s="312"/>
      <c r="Y609" s="313"/>
      <c r="Z609" s="114">
        <f t="shared" si="79"/>
        <v>91</v>
      </c>
    </row>
    <row r="610" spans="1:26" s="245" customFormat="1" x14ac:dyDescent="0.25">
      <c r="A610" s="334" t="s">
        <v>2038</v>
      </c>
      <c r="B610" s="334" t="s">
        <v>2039</v>
      </c>
      <c r="C610" s="334"/>
      <c r="D610" s="334"/>
      <c r="E610" s="172"/>
      <c r="F610" s="172" t="s">
        <v>2026</v>
      </c>
      <c r="G610" s="173" t="str">
        <f t="shared" si="74"/>
        <v>24/6/2008</v>
      </c>
      <c r="H610" s="334">
        <v>24</v>
      </c>
      <c r="I610" s="334">
        <v>6</v>
      </c>
      <c r="J610" s="334">
        <v>2008</v>
      </c>
      <c r="K610" s="334" t="s">
        <v>1765</v>
      </c>
      <c r="L610" s="172"/>
      <c r="M610" s="245" t="s">
        <v>796</v>
      </c>
      <c r="N610" s="350">
        <v>6241.4022975569405</v>
      </c>
      <c r="O610" s="350"/>
      <c r="P610" s="334"/>
      <c r="Q610" s="334">
        <v>10</v>
      </c>
      <c r="R610" s="178">
        <f t="shared" si="75"/>
        <v>52.003352479641173</v>
      </c>
      <c r="S610" s="570">
        <v>4680.3017231677059</v>
      </c>
      <c r="T610" s="335">
        <f t="shared" si="76"/>
        <v>4732.3050756473467</v>
      </c>
      <c r="U610" s="572">
        <f t="shared" si="77"/>
        <v>52.003352479640853</v>
      </c>
      <c r="V610" s="335">
        <f t="shared" si="78"/>
        <v>1509.0972219095938</v>
      </c>
      <c r="W610" s="334"/>
      <c r="X610" s="312"/>
      <c r="Y610" s="313"/>
      <c r="Z610" s="114">
        <f t="shared" si="79"/>
        <v>91</v>
      </c>
    </row>
    <row r="611" spans="1:26" s="245" customFormat="1" x14ac:dyDescent="0.25">
      <c r="A611" s="334" t="s">
        <v>2040</v>
      </c>
      <c r="B611" s="334" t="s">
        <v>2041</v>
      </c>
      <c r="C611" s="334"/>
      <c r="D611" s="334"/>
      <c r="E611" s="172"/>
      <c r="F611" s="172" t="s">
        <v>2026</v>
      </c>
      <c r="G611" s="173" t="str">
        <f t="shared" si="74"/>
        <v>1/7/2008</v>
      </c>
      <c r="H611" s="334">
        <v>1</v>
      </c>
      <c r="I611" s="334">
        <v>7</v>
      </c>
      <c r="J611" s="334">
        <v>2008</v>
      </c>
      <c r="K611" s="334"/>
      <c r="L611" s="172"/>
      <c r="M611" s="245" t="s">
        <v>796</v>
      </c>
      <c r="N611" s="350">
        <v>5921.57</v>
      </c>
      <c r="O611" s="350" t="s">
        <v>948</v>
      </c>
      <c r="P611" s="334"/>
      <c r="Q611" s="334">
        <v>10</v>
      </c>
      <c r="R611" s="178">
        <f t="shared" si="75"/>
        <v>49.338083333333337</v>
      </c>
      <c r="S611" s="570">
        <v>4391.0894166666667</v>
      </c>
      <c r="T611" s="335">
        <f t="shared" si="76"/>
        <v>4440.4275000000007</v>
      </c>
      <c r="U611" s="572">
        <f t="shared" si="77"/>
        <v>49.338083333333998</v>
      </c>
      <c r="V611" s="335">
        <f t="shared" si="78"/>
        <v>1481.142499999999</v>
      </c>
      <c r="W611" s="334"/>
      <c r="X611" s="312"/>
      <c r="Y611" s="313"/>
      <c r="Z611" s="114">
        <f t="shared" si="79"/>
        <v>90</v>
      </c>
    </row>
    <row r="612" spans="1:26" s="245" customFormat="1" x14ac:dyDescent="0.25">
      <c r="A612" s="245" t="s">
        <v>2042</v>
      </c>
      <c r="B612" s="245" t="s">
        <v>2841</v>
      </c>
      <c r="C612" s="245" t="s">
        <v>2043</v>
      </c>
      <c r="E612" s="97"/>
      <c r="F612" s="97" t="s">
        <v>2044</v>
      </c>
      <c r="G612" s="132" t="str">
        <f t="shared" si="74"/>
        <v>2/7/2008</v>
      </c>
      <c r="H612" s="245">
        <v>2</v>
      </c>
      <c r="I612" s="245">
        <v>7</v>
      </c>
      <c r="J612" s="245">
        <v>2008</v>
      </c>
      <c r="K612" s="245" t="s">
        <v>1817</v>
      </c>
      <c r="L612" s="97" t="s">
        <v>2842</v>
      </c>
      <c r="M612" s="245" t="s">
        <v>796</v>
      </c>
      <c r="N612" s="226">
        <v>16694.830000000002</v>
      </c>
      <c r="O612" s="227" t="s">
        <v>1564</v>
      </c>
      <c r="Q612" s="245">
        <v>10</v>
      </c>
      <c r="R612" s="30">
        <f t="shared" si="75"/>
        <v>139.11525000000003</v>
      </c>
      <c r="S612" s="5">
        <v>12381.257250000002</v>
      </c>
      <c r="T612" s="313">
        <f t="shared" si="76"/>
        <v>12520.372500000003</v>
      </c>
      <c r="U612" s="15">
        <f t="shared" si="77"/>
        <v>139.11525000000074</v>
      </c>
      <c r="V612" s="313">
        <f t="shared" si="78"/>
        <v>4174.4574999999986</v>
      </c>
      <c r="W612" s="245">
        <v>11224</v>
      </c>
      <c r="X612" s="312"/>
      <c r="Y612" s="313"/>
      <c r="Z612" s="114">
        <f t="shared" si="79"/>
        <v>90</v>
      </c>
    </row>
    <row r="613" spans="1:26" s="318" customFormat="1" x14ac:dyDescent="0.25">
      <c r="A613" s="318" t="s">
        <v>2045</v>
      </c>
      <c r="B613" s="318" t="s">
        <v>2046</v>
      </c>
      <c r="E613" s="148"/>
      <c r="F613" s="148" t="s">
        <v>2047</v>
      </c>
      <c r="G613" s="149" t="str">
        <f t="shared" si="74"/>
        <v>7/8/2008</v>
      </c>
      <c r="H613" s="318">
        <v>7</v>
      </c>
      <c r="I613" s="318">
        <v>8</v>
      </c>
      <c r="J613" s="318">
        <v>2008</v>
      </c>
      <c r="L613" s="148"/>
      <c r="M613" s="318" t="s">
        <v>796</v>
      </c>
      <c r="N613" s="560">
        <v>19980</v>
      </c>
      <c r="O613" s="561" t="s">
        <v>1659</v>
      </c>
      <c r="Q613" s="318">
        <v>10</v>
      </c>
      <c r="R613" s="18">
        <f t="shared" si="75"/>
        <v>166.49166666666667</v>
      </c>
      <c r="S613" s="5">
        <v>14651.266666666666</v>
      </c>
      <c r="T613" s="319">
        <f t="shared" si="76"/>
        <v>14817.758333333333</v>
      </c>
      <c r="U613" s="555">
        <f t="shared" si="77"/>
        <v>166.49166666666679</v>
      </c>
      <c r="V613" s="319">
        <f t="shared" si="78"/>
        <v>5162.2416666666668</v>
      </c>
      <c r="W613" s="318">
        <v>11325</v>
      </c>
      <c r="X613" s="320"/>
      <c r="Y613" s="319"/>
      <c r="Z613" s="155">
        <f t="shared" si="79"/>
        <v>89</v>
      </c>
    </row>
    <row r="614" spans="1:26" s="245" customFormat="1" x14ac:dyDescent="0.25">
      <c r="A614" s="245" t="s">
        <v>2048</v>
      </c>
      <c r="B614" s="245" t="s">
        <v>2049</v>
      </c>
      <c r="E614" s="97"/>
      <c r="F614" s="97" t="s">
        <v>2047</v>
      </c>
      <c r="G614" s="132" t="str">
        <f t="shared" si="74"/>
        <v>4/11/2008</v>
      </c>
      <c r="H614" s="357">
        <v>4</v>
      </c>
      <c r="I614" s="245">
        <v>11</v>
      </c>
      <c r="J614" s="245">
        <v>2008</v>
      </c>
      <c r="K614" s="245" t="s">
        <v>420</v>
      </c>
      <c r="L614" s="97"/>
      <c r="M614" s="245" t="s">
        <v>796</v>
      </c>
      <c r="N614" s="228">
        <v>7195</v>
      </c>
      <c r="O614" s="229" t="s">
        <v>2050</v>
      </c>
      <c r="Q614" s="245">
        <v>10</v>
      </c>
      <c r="R614" s="30">
        <f t="shared" si="75"/>
        <v>59.949999999999996</v>
      </c>
      <c r="S614" s="5">
        <v>5095.75</v>
      </c>
      <c r="T614" s="313">
        <f t="shared" si="76"/>
        <v>5155.7</v>
      </c>
      <c r="U614" s="15">
        <f t="shared" si="77"/>
        <v>59.949999999999818</v>
      </c>
      <c r="V614" s="313">
        <f t="shared" si="78"/>
        <v>2039.3000000000002</v>
      </c>
      <c r="W614" s="245">
        <v>11797</v>
      </c>
      <c r="X614" s="312"/>
      <c r="Y614" s="313"/>
      <c r="Z614" s="137">
        <f t="shared" si="79"/>
        <v>86</v>
      </c>
    </row>
    <row r="615" spans="1:26" s="245" customFormat="1" x14ac:dyDescent="0.25">
      <c r="A615" s="245" t="s">
        <v>2051</v>
      </c>
      <c r="B615" s="245" t="s">
        <v>2052</v>
      </c>
      <c r="E615" s="97"/>
      <c r="F615" s="97" t="s">
        <v>2047</v>
      </c>
      <c r="G615" s="132" t="str">
        <f t="shared" si="74"/>
        <v>4/11/2008</v>
      </c>
      <c r="H615" s="357">
        <v>4</v>
      </c>
      <c r="I615" s="245">
        <v>11</v>
      </c>
      <c r="J615" s="245">
        <v>2008</v>
      </c>
      <c r="K615" s="245" t="s">
        <v>420</v>
      </c>
      <c r="L615" s="97"/>
      <c r="M615" s="245" t="s">
        <v>1998</v>
      </c>
      <c r="N615" s="228">
        <v>7195</v>
      </c>
      <c r="O615" s="228"/>
      <c r="Q615" s="245">
        <v>10</v>
      </c>
      <c r="R615" s="30">
        <f t="shared" si="75"/>
        <v>59.949999999999996</v>
      </c>
      <c r="S615" s="5">
        <v>5095.75</v>
      </c>
      <c r="T615" s="313">
        <f t="shared" si="76"/>
        <v>5155.7</v>
      </c>
      <c r="U615" s="15">
        <f t="shared" si="77"/>
        <v>59.949999999999818</v>
      </c>
      <c r="V615" s="313">
        <f t="shared" si="78"/>
        <v>2039.3000000000002</v>
      </c>
      <c r="W615" s="245">
        <v>11797</v>
      </c>
      <c r="X615" s="312"/>
      <c r="Y615" s="313"/>
      <c r="Z615" s="114">
        <f t="shared" si="79"/>
        <v>86</v>
      </c>
    </row>
    <row r="616" spans="1:26" s="245" customFormat="1" x14ac:dyDescent="0.25">
      <c r="A616" s="245" t="s">
        <v>2053</v>
      </c>
      <c r="B616" s="245" t="s">
        <v>2054</v>
      </c>
      <c r="E616" s="97"/>
      <c r="F616" s="97" t="s">
        <v>2047</v>
      </c>
      <c r="G616" s="132" t="str">
        <f t="shared" si="74"/>
        <v>4/11/2008</v>
      </c>
      <c r="H616" s="357">
        <v>4</v>
      </c>
      <c r="I616" s="245">
        <v>11</v>
      </c>
      <c r="J616" s="245">
        <v>2008</v>
      </c>
      <c r="K616" s="245" t="s">
        <v>420</v>
      </c>
      <c r="L616" s="97"/>
      <c r="M616" s="245" t="s">
        <v>2000</v>
      </c>
      <c r="N616" s="228">
        <v>7195</v>
      </c>
      <c r="O616" s="228"/>
      <c r="Q616" s="245">
        <v>10</v>
      </c>
      <c r="R616" s="30">
        <f t="shared" si="75"/>
        <v>59.949999999999996</v>
      </c>
      <c r="S616" s="5">
        <v>5095.75</v>
      </c>
      <c r="T616" s="313">
        <f t="shared" si="76"/>
        <v>5155.7</v>
      </c>
      <c r="U616" s="15">
        <f t="shared" si="77"/>
        <v>59.949999999999818</v>
      </c>
      <c r="V616" s="313">
        <f t="shared" si="78"/>
        <v>2039.3000000000002</v>
      </c>
      <c r="W616" s="245">
        <v>11797</v>
      </c>
      <c r="X616" s="312"/>
      <c r="Y616" s="313"/>
      <c r="Z616" s="114">
        <f t="shared" si="79"/>
        <v>86</v>
      </c>
    </row>
    <row r="617" spans="1:26" s="245" customFormat="1" x14ac:dyDescent="0.25">
      <c r="A617" s="245" t="s">
        <v>2055</v>
      </c>
      <c r="B617" s="245" t="s">
        <v>2056</v>
      </c>
      <c r="E617" s="97"/>
      <c r="F617" s="97" t="s">
        <v>2047</v>
      </c>
      <c r="G617" s="132" t="str">
        <f t="shared" si="74"/>
        <v>4/11/2008</v>
      </c>
      <c r="H617" s="357">
        <v>4</v>
      </c>
      <c r="I617" s="245">
        <v>11</v>
      </c>
      <c r="J617" s="245">
        <v>2008</v>
      </c>
      <c r="K617" s="245" t="s">
        <v>420</v>
      </c>
      <c r="L617" s="97"/>
      <c r="M617" s="245" t="s">
        <v>2002</v>
      </c>
      <c r="N617" s="228">
        <v>7195</v>
      </c>
      <c r="O617" s="228"/>
      <c r="Q617" s="245">
        <v>10</v>
      </c>
      <c r="R617" s="30">
        <f t="shared" si="75"/>
        <v>59.949999999999996</v>
      </c>
      <c r="S617" s="5">
        <v>5095.75</v>
      </c>
      <c r="T617" s="313">
        <f t="shared" si="76"/>
        <v>5155.7</v>
      </c>
      <c r="U617" s="15">
        <f t="shared" si="77"/>
        <v>59.949999999999818</v>
      </c>
      <c r="V617" s="313">
        <f t="shared" si="78"/>
        <v>2039.3000000000002</v>
      </c>
      <c r="W617" s="245">
        <v>11797</v>
      </c>
      <c r="X617" s="312"/>
      <c r="Y617" s="313"/>
      <c r="Z617" s="114">
        <f t="shared" si="79"/>
        <v>86</v>
      </c>
    </row>
    <row r="618" spans="1:26" s="245" customFormat="1" x14ac:dyDescent="0.25">
      <c r="A618" s="245" t="s">
        <v>2057</v>
      </c>
      <c r="B618" s="245" t="s">
        <v>2058</v>
      </c>
      <c r="E618" s="97"/>
      <c r="F618" s="97" t="s">
        <v>2047</v>
      </c>
      <c r="G618" s="132" t="str">
        <f t="shared" si="74"/>
        <v>4/11/2008</v>
      </c>
      <c r="H618" s="357">
        <v>4</v>
      </c>
      <c r="I618" s="245">
        <v>11</v>
      </c>
      <c r="J618" s="245">
        <v>2008</v>
      </c>
      <c r="K618" s="245" t="s">
        <v>420</v>
      </c>
      <c r="L618" s="97"/>
      <c r="M618" s="245" t="s">
        <v>2004</v>
      </c>
      <c r="N618" s="228">
        <v>7195</v>
      </c>
      <c r="O618" s="228"/>
      <c r="Q618" s="245">
        <v>10</v>
      </c>
      <c r="R618" s="30">
        <f t="shared" si="75"/>
        <v>59.949999999999996</v>
      </c>
      <c r="S618" s="5">
        <v>5095.75</v>
      </c>
      <c r="T618" s="313">
        <f t="shared" si="76"/>
        <v>5155.7</v>
      </c>
      <c r="U618" s="15">
        <f t="shared" si="77"/>
        <v>59.949999999999818</v>
      </c>
      <c r="V618" s="313">
        <f t="shared" si="78"/>
        <v>2039.3000000000002</v>
      </c>
      <c r="W618" s="245">
        <v>11797</v>
      </c>
      <c r="X618" s="312"/>
      <c r="Y618" s="313"/>
      <c r="Z618" s="114">
        <f t="shared" si="79"/>
        <v>86</v>
      </c>
    </row>
    <row r="619" spans="1:26" s="245" customFormat="1" x14ac:dyDescent="0.25">
      <c r="A619" s="245" t="s">
        <v>2059</v>
      </c>
      <c r="B619" s="245" t="s">
        <v>2060</v>
      </c>
      <c r="C619" s="245" t="s">
        <v>2061</v>
      </c>
      <c r="D619" s="245" t="s">
        <v>2062</v>
      </c>
      <c r="E619" s="97"/>
      <c r="F619" s="97" t="s">
        <v>2063</v>
      </c>
      <c r="G619" s="132" t="str">
        <f t="shared" si="74"/>
        <v>4/9/2008</v>
      </c>
      <c r="H619" s="245">
        <v>4</v>
      </c>
      <c r="I619" s="245">
        <v>9</v>
      </c>
      <c r="J619" s="245">
        <v>2008</v>
      </c>
      <c r="L619" s="97"/>
      <c r="M619" s="245" t="s">
        <v>796</v>
      </c>
      <c r="N619" s="228">
        <v>5000</v>
      </c>
      <c r="O619" s="228"/>
      <c r="Q619" s="245">
        <v>10</v>
      </c>
      <c r="R619" s="30">
        <f t="shared" si="75"/>
        <v>41.658333333333331</v>
      </c>
      <c r="S619" s="5">
        <v>3624.2749999999996</v>
      </c>
      <c r="T619" s="313">
        <f t="shared" si="76"/>
        <v>3665.9333333333334</v>
      </c>
      <c r="U619" s="15">
        <f t="shared" si="77"/>
        <v>41.658333333333758</v>
      </c>
      <c r="V619" s="313">
        <f t="shared" si="78"/>
        <v>1334.0666666666666</v>
      </c>
      <c r="W619" s="245">
        <v>11444</v>
      </c>
      <c r="X619" s="312"/>
      <c r="Y619" s="313"/>
      <c r="Z619" s="114">
        <f t="shared" si="79"/>
        <v>88</v>
      </c>
    </row>
    <row r="620" spans="1:26" s="245" customFormat="1" x14ac:dyDescent="0.25">
      <c r="A620" s="245" t="s">
        <v>2064</v>
      </c>
      <c r="B620" s="245" t="s">
        <v>2060</v>
      </c>
      <c r="C620" s="245" t="s">
        <v>2061</v>
      </c>
      <c r="D620" s="245" t="s">
        <v>2062</v>
      </c>
      <c r="E620" s="97"/>
      <c r="F620" s="97" t="s">
        <v>2063</v>
      </c>
      <c r="G620" s="132" t="str">
        <f t="shared" si="74"/>
        <v>4/9/2008</v>
      </c>
      <c r="H620" s="245">
        <v>4</v>
      </c>
      <c r="I620" s="245">
        <v>9</v>
      </c>
      <c r="J620" s="245">
        <v>2008</v>
      </c>
      <c r="L620" s="97"/>
      <c r="M620" s="245" t="s">
        <v>796</v>
      </c>
      <c r="N620" s="228">
        <v>5000</v>
      </c>
      <c r="O620" s="228"/>
      <c r="Q620" s="245">
        <v>10</v>
      </c>
      <c r="R620" s="30">
        <f t="shared" si="75"/>
        <v>41.658333333333331</v>
      </c>
      <c r="S620" s="5">
        <v>3624.2749999999996</v>
      </c>
      <c r="T620" s="313">
        <f t="shared" si="76"/>
        <v>3665.9333333333334</v>
      </c>
      <c r="U620" s="15">
        <f t="shared" si="77"/>
        <v>41.658333333333758</v>
      </c>
      <c r="V620" s="313">
        <f t="shared" si="78"/>
        <v>1334.0666666666666</v>
      </c>
      <c r="W620" s="245">
        <v>11444</v>
      </c>
      <c r="X620" s="312"/>
      <c r="Y620" s="313"/>
      <c r="Z620" s="114">
        <f t="shared" si="79"/>
        <v>88</v>
      </c>
    </row>
    <row r="621" spans="1:26" s="245" customFormat="1" x14ac:dyDescent="0.25">
      <c r="A621" s="245" t="s">
        <v>2065</v>
      </c>
      <c r="B621" s="245" t="s">
        <v>2066</v>
      </c>
      <c r="C621" s="245" t="s">
        <v>2067</v>
      </c>
      <c r="E621" s="97"/>
      <c r="F621" s="97" t="s">
        <v>2068</v>
      </c>
      <c r="G621" s="132" t="str">
        <f t="shared" si="74"/>
        <v>23/9/2008</v>
      </c>
      <c r="H621" s="245">
        <v>23</v>
      </c>
      <c r="I621" s="245">
        <v>9</v>
      </c>
      <c r="J621" s="245">
        <v>2008</v>
      </c>
      <c r="L621" s="97"/>
      <c r="M621" s="245" t="s">
        <v>796</v>
      </c>
      <c r="N621" s="228">
        <v>13012.75</v>
      </c>
      <c r="O621" s="228"/>
      <c r="Q621" s="245">
        <v>10</v>
      </c>
      <c r="R621" s="30">
        <f t="shared" si="75"/>
        <v>108.43124999999999</v>
      </c>
      <c r="S621" s="5">
        <v>9433.5187499999993</v>
      </c>
      <c r="T621" s="313">
        <f t="shared" si="76"/>
        <v>9541.9499999999989</v>
      </c>
      <c r="U621" s="15">
        <f t="shared" si="77"/>
        <v>108.43124999999964</v>
      </c>
      <c r="V621" s="313">
        <f t="shared" si="78"/>
        <v>3470.8000000000011</v>
      </c>
      <c r="W621" s="245">
        <v>11485</v>
      </c>
      <c r="X621" s="312"/>
      <c r="Y621" s="313"/>
      <c r="Z621" s="114">
        <f t="shared" si="79"/>
        <v>88</v>
      </c>
    </row>
    <row r="622" spans="1:26" s="245" customFormat="1" x14ac:dyDescent="0.25">
      <c r="A622" s="245" t="s">
        <v>2069</v>
      </c>
      <c r="B622" s="245" t="s">
        <v>2070</v>
      </c>
      <c r="C622" s="245" t="s">
        <v>2067</v>
      </c>
      <c r="E622" s="97"/>
      <c r="F622" s="97" t="s">
        <v>2068</v>
      </c>
      <c r="G622" s="132" t="str">
        <f t="shared" si="74"/>
        <v>23/9/2008</v>
      </c>
      <c r="H622" s="245">
        <v>23</v>
      </c>
      <c r="I622" s="245">
        <v>9</v>
      </c>
      <c r="J622" s="245">
        <v>2008</v>
      </c>
      <c r="L622" s="97"/>
      <c r="M622" s="245" t="s">
        <v>796</v>
      </c>
      <c r="N622" s="228">
        <v>13224</v>
      </c>
      <c r="O622" s="228"/>
      <c r="Q622" s="245">
        <v>10</v>
      </c>
      <c r="R622" s="30">
        <f t="shared" si="75"/>
        <v>110.19166666666666</v>
      </c>
      <c r="S622" s="5">
        <v>9586.6749999999993</v>
      </c>
      <c r="T622" s="313">
        <f t="shared" si="76"/>
        <v>9696.8666666666668</v>
      </c>
      <c r="U622" s="15">
        <f t="shared" si="77"/>
        <v>110.19166666666752</v>
      </c>
      <c r="V622" s="313">
        <f t="shared" si="78"/>
        <v>3527.1333333333332</v>
      </c>
      <c r="W622" s="245">
        <v>11485</v>
      </c>
      <c r="X622" s="312"/>
      <c r="Y622" s="313"/>
      <c r="Z622" s="114">
        <f t="shared" si="79"/>
        <v>88</v>
      </c>
    </row>
    <row r="623" spans="1:26" s="245" customFormat="1" x14ac:dyDescent="0.25">
      <c r="A623" s="245" t="s">
        <v>2071</v>
      </c>
      <c r="B623" s="245" t="s">
        <v>2072</v>
      </c>
      <c r="D623" s="245" t="s">
        <v>2073</v>
      </c>
      <c r="E623" s="97"/>
      <c r="F623" s="97" t="s">
        <v>2074</v>
      </c>
      <c r="G623" s="132" t="str">
        <f t="shared" si="74"/>
        <v>25/9/2008</v>
      </c>
      <c r="H623" s="245">
        <v>25</v>
      </c>
      <c r="I623" s="245">
        <v>9</v>
      </c>
      <c r="J623" s="245">
        <v>2008</v>
      </c>
      <c r="L623" s="97"/>
      <c r="M623" s="245" t="s">
        <v>796</v>
      </c>
      <c r="N623" s="228">
        <v>17162.2</v>
      </c>
      <c r="O623" s="228"/>
      <c r="Q623" s="245">
        <v>10</v>
      </c>
      <c r="R623" s="30">
        <f t="shared" si="75"/>
        <v>143.01000000000002</v>
      </c>
      <c r="S623" s="5">
        <v>12441.87</v>
      </c>
      <c r="T623" s="313">
        <f t="shared" si="76"/>
        <v>12584.880000000001</v>
      </c>
      <c r="U623" s="15">
        <f t="shared" si="77"/>
        <v>143.01000000000022</v>
      </c>
      <c r="V623" s="313">
        <f t="shared" si="78"/>
        <v>4577.32</v>
      </c>
      <c r="W623" s="245">
        <v>11486</v>
      </c>
      <c r="X623" s="312"/>
      <c r="Y623" s="313"/>
      <c r="Z623" s="114">
        <f t="shared" si="79"/>
        <v>88</v>
      </c>
    </row>
    <row r="624" spans="1:26" s="245" customFormat="1" x14ac:dyDescent="0.25">
      <c r="A624" s="245" t="s">
        <v>2075</v>
      </c>
      <c r="B624" s="245" t="s">
        <v>2076</v>
      </c>
      <c r="D624" s="245" t="s">
        <v>2077</v>
      </c>
      <c r="E624" s="97"/>
      <c r="F624" s="97" t="s">
        <v>2074</v>
      </c>
      <c r="G624" s="132" t="str">
        <f t="shared" si="74"/>
        <v>25/9/2008</v>
      </c>
      <c r="H624" s="245">
        <v>25</v>
      </c>
      <c r="I624" s="245">
        <v>9</v>
      </c>
      <c r="J624" s="245">
        <v>2008</v>
      </c>
      <c r="L624" s="97"/>
      <c r="M624" s="245" t="s">
        <v>796</v>
      </c>
      <c r="N624" s="228">
        <v>4056.52</v>
      </c>
      <c r="O624" s="228"/>
      <c r="Q624" s="245">
        <v>10</v>
      </c>
      <c r="R624" s="30">
        <f t="shared" si="75"/>
        <v>33.795999999999999</v>
      </c>
      <c r="S624" s="5">
        <v>2940.252</v>
      </c>
      <c r="T624" s="313">
        <f t="shared" si="76"/>
        <v>2974.0479999999998</v>
      </c>
      <c r="U624" s="15">
        <f t="shared" si="77"/>
        <v>33.795999999999822</v>
      </c>
      <c r="V624" s="313">
        <f t="shared" si="78"/>
        <v>1082.4720000000002</v>
      </c>
      <c r="W624" s="245">
        <v>11486</v>
      </c>
      <c r="X624" s="312"/>
      <c r="Y624" s="313"/>
      <c r="Z624" s="114">
        <f t="shared" si="79"/>
        <v>88</v>
      </c>
    </row>
    <row r="625" spans="1:26" s="245" customFormat="1" x14ac:dyDescent="0.25">
      <c r="A625" s="245" t="s">
        <v>2078</v>
      </c>
      <c r="B625" s="245" t="s">
        <v>2079</v>
      </c>
      <c r="D625" s="245" t="s">
        <v>2080</v>
      </c>
      <c r="E625" s="97"/>
      <c r="F625" s="97" t="s">
        <v>2074</v>
      </c>
      <c r="G625" s="132" t="str">
        <f t="shared" si="74"/>
        <v>25/9/2008</v>
      </c>
      <c r="H625" s="245">
        <v>25</v>
      </c>
      <c r="I625" s="245">
        <v>9</v>
      </c>
      <c r="J625" s="245">
        <v>2008</v>
      </c>
      <c r="L625" s="97"/>
      <c r="M625" s="245" t="s">
        <v>796</v>
      </c>
      <c r="N625" s="228">
        <v>2822.28</v>
      </c>
      <c r="O625" s="228"/>
      <c r="Q625" s="245">
        <v>10</v>
      </c>
      <c r="R625" s="30">
        <f t="shared" si="75"/>
        <v>23.510666666666669</v>
      </c>
      <c r="S625" s="5">
        <v>2045.4280000000001</v>
      </c>
      <c r="T625" s="313">
        <f t="shared" si="76"/>
        <v>2068.9386666666669</v>
      </c>
      <c r="U625" s="15">
        <f t="shared" si="77"/>
        <v>23.510666666666793</v>
      </c>
      <c r="V625" s="313">
        <f t="shared" si="78"/>
        <v>753.3413333333333</v>
      </c>
      <c r="W625" s="245">
        <v>11486</v>
      </c>
      <c r="X625" s="312"/>
      <c r="Y625" s="313"/>
      <c r="Z625" s="114">
        <f t="shared" si="79"/>
        <v>88</v>
      </c>
    </row>
    <row r="626" spans="1:26" s="245" customFormat="1" x14ac:dyDescent="0.25">
      <c r="A626" s="245" t="s">
        <v>2081</v>
      </c>
      <c r="B626" s="245" t="s">
        <v>2082</v>
      </c>
      <c r="D626" s="245" t="s">
        <v>2083</v>
      </c>
      <c r="E626" s="97"/>
      <c r="F626" s="97" t="s">
        <v>2074</v>
      </c>
      <c r="G626" s="132" t="str">
        <f t="shared" si="74"/>
        <v>25/9/2008</v>
      </c>
      <c r="H626" s="245">
        <v>25</v>
      </c>
      <c r="I626" s="245">
        <v>9</v>
      </c>
      <c r="J626" s="245">
        <v>2008</v>
      </c>
      <c r="L626" s="97"/>
      <c r="M626" s="245" t="s">
        <v>796</v>
      </c>
      <c r="N626" s="231">
        <v>5744.32</v>
      </c>
      <c r="O626" s="231"/>
      <c r="Q626" s="245">
        <v>10</v>
      </c>
      <c r="R626" s="30">
        <f t="shared" si="75"/>
        <v>47.860999999999997</v>
      </c>
      <c r="S626" s="5">
        <v>4163.9070000000002</v>
      </c>
      <c r="T626" s="313">
        <f t="shared" si="76"/>
        <v>4211.768</v>
      </c>
      <c r="U626" s="15">
        <f t="shared" si="77"/>
        <v>47.860999999999876</v>
      </c>
      <c r="V626" s="313">
        <f t="shared" si="78"/>
        <v>1532.5519999999997</v>
      </c>
      <c r="W626" s="245">
        <v>11486</v>
      </c>
      <c r="X626" s="312"/>
      <c r="Y626" s="313"/>
      <c r="Z626" s="114">
        <f t="shared" si="79"/>
        <v>88</v>
      </c>
    </row>
    <row r="627" spans="1:26" s="245" customFormat="1" x14ac:dyDescent="0.25">
      <c r="A627" s="245" t="s">
        <v>2084</v>
      </c>
      <c r="B627" s="245" t="s">
        <v>2082</v>
      </c>
      <c r="D627" s="245" t="s">
        <v>2085</v>
      </c>
      <c r="E627" s="97"/>
      <c r="F627" s="97" t="s">
        <v>2074</v>
      </c>
      <c r="G627" s="132" t="str">
        <f t="shared" si="74"/>
        <v>25/9/2008</v>
      </c>
      <c r="H627" s="245">
        <v>25</v>
      </c>
      <c r="I627" s="245">
        <v>9</v>
      </c>
      <c r="J627" s="245">
        <v>2008</v>
      </c>
      <c r="L627" s="97"/>
      <c r="M627" s="245" t="s">
        <v>796</v>
      </c>
      <c r="N627" s="231">
        <v>5744.32</v>
      </c>
      <c r="O627" s="231"/>
      <c r="Q627" s="245">
        <v>10</v>
      </c>
      <c r="R627" s="30">
        <f t="shared" si="75"/>
        <v>47.860999999999997</v>
      </c>
      <c r="S627" s="5">
        <v>4163.9070000000002</v>
      </c>
      <c r="T627" s="313">
        <f t="shared" si="76"/>
        <v>4211.768</v>
      </c>
      <c r="U627" s="15">
        <f t="shared" si="77"/>
        <v>47.860999999999876</v>
      </c>
      <c r="V627" s="313">
        <f t="shared" si="78"/>
        <v>1532.5519999999997</v>
      </c>
      <c r="W627" s="245">
        <v>11486</v>
      </c>
      <c r="X627" s="312"/>
      <c r="Y627" s="313"/>
      <c r="Z627" s="114">
        <f t="shared" si="79"/>
        <v>88</v>
      </c>
    </row>
    <row r="628" spans="1:26" s="245" customFormat="1" x14ac:dyDescent="0.25">
      <c r="A628" s="245" t="s">
        <v>2086</v>
      </c>
      <c r="B628" s="245" t="s">
        <v>2082</v>
      </c>
      <c r="D628" s="245" t="s">
        <v>2085</v>
      </c>
      <c r="E628" s="97"/>
      <c r="F628" s="97" t="s">
        <v>2074</v>
      </c>
      <c r="G628" s="132" t="str">
        <f t="shared" si="74"/>
        <v>25/9/2008</v>
      </c>
      <c r="H628" s="245">
        <v>25</v>
      </c>
      <c r="I628" s="245">
        <v>9</v>
      </c>
      <c r="J628" s="245">
        <v>2008</v>
      </c>
      <c r="L628" s="97"/>
      <c r="M628" s="245" t="s">
        <v>796</v>
      </c>
      <c r="N628" s="231">
        <v>5744.32</v>
      </c>
      <c r="O628" s="231"/>
      <c r="Q628" s="245">
        <v>10</v>
      </c>
      <c r="R628" s="30">
        <f t="shared" si="75"/>
        <v>47.860999999999997</v>
      </c>
      <c r="S628" s="5">
        <v>4163.9070000000002</v>
      </c>
      <c r="T628" s="313">
        <f t="shared" si="76"/>
        <v>4211.768</v>
      </c>
      <c r="U628" s="15">
        <f t="shared" si="77"/>
        <v>47.860999999999876</v>
      </c>
      <c r="V628" s="313">
        <f t="shared" si="78"/>
        <v>1532.5519999999997</v>
      </c>
      <c r="W628" s="245">
        <v>11486</v>
      </c>
      <c r="X628" s="312"/>
      <c r="Y628" s="313"/>
      <c r="Z628" s="114">
        <f t="shared" si="79"/>
        <v>88</v>
      </c>
    </row>
    <row r="629" spans="1:26" s="245" customFormat="1" x14ac:dyDescent="0.25">
      <c r="A629" s="245" t="s">
        <v>2087</v>
      </c>
      <c r="B629" s="245" t="s">
        <v>2082</v>
      </c>
      <c r="D629" s="245" t="s">
        <v>2085</v>
      </c>
      <c r="E629" s="97"/>
      <c r="F629" s="97" t="s">
        <v>2074</v>
      </c>
      <c r="G629" s="132" t="str">
        <f t="shared" si="74"/>
        <v>25/9/2008</v>
      </c>
      <c r="H629" s="245">
        <v>25</v>
      </c>
      <c r="I629" s="245">
        <v>9</v>
      </c>
      <c r="J629" s="245">
        <v>2008</v>
      </c>
      <c r="L629" s="97"/>
      <c r="M629" s="245" t="s">
        <v>796</v>
      </c>
      <c r="N629" s="231">
        <v>5744.32</v>
      </c>
      <c r="O629" s="231"/>
      <c r="Q629" s="245">
        <v>10</v>
      </c>
      <c r="R629" s="30">
        <f t="shared" si="75"/>
        <v>47.860999999999997</v>
      </c>
      <c r="S629" s="5">
        <v>4163.9070000000002</v>
      </c>
      <c r="T629" s="313">
        <f t="shared" si="76"/>
        <v>4211.768</v>
      </c>
      <c r="U629" s="15">
        <f t="shared" si="77"/>
        <v>47.860999999999876</v>
      </c>
      <c r="V629" s="313">
        <f t="shared" si="78"/>
        <v>1532.5519999999997</v>
      </c>
      <c r="W629" s="245">
        <v>11486</v>
      </c>
      <c r="X629" s="312"/>
      <c r="Y629" s="313"/>
      <c r="Z629" s="114">
        <f t="shared" si="79"/>
        <v>88</v>
      </c>
    </row>
    <row r="630" spans="1:26" s="245" customFormat="1" x14ac:dyDescent="0.25">
      <c r="A630" s="245" t="s">
        <v>2088</v>
      </c>
      <c r="B630" s="245" t="s">
        <v>2089</v>
      </c>
      <c r="E630" s="97"/>
      <c r="F630" s="97" t="s">
        <v>2074</v>
      </c>
      <c r="G630" s="132" t="str">
        <f t="shared" si="74"/>
        <v>25/9/2008</v>
      </c>
      <c r="H630" s="245">
        <v>25</v>
      </c>
      <c r="I630" s="245">
        <v>9</v>
      </c>
      <c r="J630" s="245">
        <v>2008</v>
      </c>
      <c r="L630" s="97"/>
      <c r="M630" s="245" t="s">
        <v>796</v>
      </c>
      <c r="N630" s="228">
        <v>13583.6</v>
      </c>
      <c r="O630" s="228"/>
      <c r="Q630" s="245">
        <v>10</v>
      </c>
      <c r="R630" s="30">
        <f t="shared" si="75"/>
        <v>113.18833333333333</v>
      </c>
      <c r="S630" s="5">
        <v>9847.3850000000002</v>
      </c>
      <c r="T630" s="313">
        <f t="shared" si="76"/>
        <v>9960.5733333333337</v>
      </c>
      <c r="U630" s="15">
        <f t="shared" si="77"/>
        <v>113.1883333333335</v>
      </c>
      <c r="V630" s="313">
        <f t="shared" si="78"/>
        <v>3623.0266666666666</v>
      </c>
      <c r="W630" s="245">
        <v>11486</v>
      </c>
      <c r="X630" s="312"/>
      <c r="Y630" s="313"/>
      <c r="Z630" s="114">
        <f t="shared" si="79"/>
        <v>88</v>
      </c>
    </row>
    <row r="631" spans="1:26" s="245" customFormat="1" x14ac:dyDescent="0.25">
      <c r="A631" s="245" t="s">
        <v>2090</v>
      </c>
      <c r="B631" s="245" t="s">
        <v>2091</v>
      </c>
      <c r="D631" s="245" t="s">
        <v>2748</v>
      </c>
      <c r="E631" s="97"/>
      <c r="F631" s="97" t="s">
        <v>2074</v>
      </c>
      <c r="G631" s="132" t="str">
        <f t="shared" si="74"/>
        <v>25/9/2008</v>
      </c>
      <c r="H631" s="245">
        <v>25</v>
      </c>
      <c r="I631" s="245">
        <v>9</v>
      </c>
      <c r="J631" s="245">
        <v>2008</v>
      </c>
      <c r="L631" s="97"/>
      <c r="M631" s="245" t="s">
        <v>796</v>
      </c>
      <c r="N631" s="228">
        <v>3984.6</v>
      </c>
      <c r="O631" s="228"/>
      <c r="Q631" s="245">
        <v>10</v>
      </c>
      <c r="R631" s="30">
        <f t="shared" si="75"/>
        <v>33.196666666666665</v>
      </c>
      <c r="S631" s="5">
        <v>2888.1099999999997</v>
      </c>
      <c r="T631" s="313">
        <f t="shared" si="76"/>
        <v>2921.3066666666664</v>
      </c>
      <c r="U631" s="15">
        <f t="shared" si="77"/>
        <v>33.196666666666715</v>
      </c>
      <c r="V631" s="313">
        <f t="shared" si="78"/>
        <v>1063.2933333333335</v>
      </c>
      <c r="W631" s="245">
        <v>11486</v>
      </c>
      <c r="X631" s="312"/>
      <c r="Y631" s="313"/>
      <c r="Z631" s="114">
        <f t="shared" si="79"/>
        <v>88</v>
      </c>
    </row>
    <row r="632" spans="1:26" s="245" customFormat="1" x14ac:dyDescent="0.25">
      <c r="A632" s="245" t="s">
        <v>2092</v>
      </c>
      <c r="B632" s="245" t="s">
        <v>2091</v>
      </c>
      <c r="D632" s="245" t="s">
        <v>2748</v>
      </c>
      <c r="E632" s="97"/>
      <c r="F632" s="97" t="s">
        <v>2074</v>
      </c>
      <c r="G632" s="132" t="str">
        <f t="shared" si="74"/>
        <v>25/9/2008</v>
      </c>
      <c r="H632" s="245">
        <v>25</v>
      </c>
      <c r="I632" s="245">
        <v>9</v>
      </c>
      <c r="J632" s="245">
        <v>2008</v>
      </c>
      <c r="L632" s="97"/>
      <c r="M632" s="245" t="s">
        <v>796</v>
      </c>
      <c r="N632" s="228">
        <v>3984.6</v>
      </c>
      <c r="O632" s="228"/>
      <c r="Q632" s="245">
        <v>10</v>
      </c>
      <c r="R632" s="30">
        <f t="shared" si="75"/>
        <v>33.196666666666665</v>
      </c>
      <c r="S632" s="5">
        <v>2888.1099999999997</v>
      </c>
      <c r="T632" s="313">
        <f t="shared" si="76"/>
        <v>2921.3066666666664</v>
      </c>
      <c r="U632" s="15">
        <f t="shared" si="77"/>
        <v>33.196666666666715</v>
      </c>
      <c r="V632" s="313">
        <f t="shared" si="78"/>
        <v>1063.2933333333335</v>
      </c>
      <c r="W632" s="245">
        <v>11486</v>
      </c>
      <c r="X632" s="312"/>
      <c r="Y632" s="313"/>
      <c r="Z632" s="114">
        <f t="shared" si="79"/>
        <v>88</v>
      </c>
    </row>
    <row r="633" spans="1:26" s="245" customFormat="1" x14ac:dyDescent="0.25">
      <c r="A633" s="245" t="s">
        <v>2093</v>
      </c>
      <c r="B633" s="245" t="s">
        <v>2091</v>
      </c>
      <c r="D633" s="245" t="s">
        <v>2748</v>
      </c>
      <c r="E633" s="97"/>
      <c r="F633" s="97" t="s">
        <v>2074</v>
      </c>
      <c r="G633" s="132" t="str">
        <f t="shared" si="74"/>
        <v>25/9/2008</v>
      </c>
      <c r="H633" s="245">
        <v>25</v>
      </c>
      <c r="I633" s="245">
        <v>9</v>
      </c>
      <c r="J633" s="245">
        <v>2008</v>
      </c>
      <c r="L633" s="97"/>
      <c r="M633" s="245" t="s">
        <v>796</v>
      </c>
      <c r="N633" s="228">
        <v>3984.6</v>
      </c>
      <c r="O633" s="228"/>
      <c r="Q633" s="245">
        <v>10</v>
      </c>
      <c r="R633" s="30">
        <f t="shared" si="75"/>
        <v>33.196666666666665</v>
      </c>
      <c r="S633" s="5">
        <v>2888.1099999999997</v>
      </c>
      <c r="T633" s="313">
        <f t="shared" si="76"/>
        <v>2921.3066666666664</v>
      </c>
      <c r="U633" s="15">
        <f t="shared" si="77"/>
        <v>33.196666666666715</v>
      </c>
      <c r="V633" s="313">
        <f t="shared" si="78"/>
        <v>1063.2933333333335</v>
      </c>
      <c r="W633" s="245">
        <v>11486</v>
      </c>
      <c r="X633" s="312"/>
      <c r="Y633" s="313"/>
      <c r="Z633" s="114">
        <f t="shared" si="79"/>
        <v>88</v>
      </c>
    </row>
    <row r="634" spans="1:26" s="245" customFormat="1" x14ac:dyDescent="0.25">
      <c r="A634" s="245" t="s">
        <v>2094</v>
      </c>
      <c r="B634" s="245" t="s">
        <v>2091</v>
      </c>
      <c r="D634" s="245" t="s">
        <v>2748</v>
      </c>
      <c r="E634" s="97"/>
      <c r="F634" s="97" t="s">
        <v>2074</v>
      </c>
      <c r="G634" s="132" t="str">
        <f t="shared" si="74"/>
        <v>25/9/2008</v>
      </c>
      <c r="H634" s="245">
        <v>25</v>
      </c>
      <c r="I634" s="245">
        <v>9</v>
      </c>
      <c r="J634" s="245">
        <v>2008</v>
      </c>
      <c r="L634" s="97"/>
      <c r="M634" s="245" t="s">
        <v>796</v>
      </c>
      <c r="N634" s="228">
        <v>3984.6</v>
      </c>
      <c r="O634" s="228"/>
      <c r="Q634" s="245">
        <v>10</v>
      </c>
      <c r="R634" s="30">
        <f t="shared" si="75"/>
        <v>33.196666666666665</v>
      </c>
      <c r="S634" s="5">
        <v>2888.1099999999997</v>
      </c>
      <c r="T634" s="313">
        <f t="shared" si="76"/>
        <v>2921.3066666666664</v>
      </c>
      <c r="U634" s="15">
        <f t="shared" si="77"/>
        <v>33.196666666666715</v>
      </c>
      <c r="V634" s="313">
        <f t="shared" si="78"/>
        <v>1063.2933333333335</v>
      </c>
      <c r="W634" s="245">
        <v>11486</v>
      </c>
      <c r="X634" s="312"/>
      <c r="Y634" s="313"/>
      <c r="Z634" s="114">
        <f t="shared" si="79"/>
        <v>88</v>
      </c>
    </row>
    <row r="635" spans="1:26" s="245" customFormat="1" x14ac:dyDescent="0.25">
      <c r="A635" s="245" t="s">
        <v>2095</v>
      </c>
      <c r="B635" s="245" t="s">
        <v>2091</v>
      </c>
      <c r="D635" s="245" t="s">
        <v>2748</v>
      </c>
      <c r="E635" s="97"/>
      <c r="F635" s="97" t="s">
        <v>2074</v>
      </c>
      <c r="G635" s="132" t="str">
        <f t="shared" si="74"/>
        <v>25/9/2008</v>
      </c>
      <c r="H635" s="245">
        <v>25</v>
      </c>
      <c r="I635" s="245">
        <v>9</v>
      </c>
      <c r="J635" s="245">
        <v>2008</v>
      </c>
      <c r="L635" s="97"/>
      <c r="M635" s="245" t="s">
        <v>796</v>
      </c>
      <c r="N635" s="228">
        <v>3984.6</v>
      </c>
      <c r="O635" s="228"/>
      <c r="Q635" s="245">
        <v>10</v>
      </c>
      <c r="R635" s="30">
        <f t="shared" si="75"/>
        <v>33.196666666666665</v>
      </c>
      <c r="S635" s="5">
        <v>2888.1099999999997</v>
      </c>
      <c r="T635" s="313">
        <f t="shared" si="76"/>
        <v>2921.3066666666664</v>
      </c>
      <c r="U635" s="15">
        <f t="shared" si="77"/>
        <v>33.196666666666715</v>
      </c>
      <c r="V635" s="313">
        <f t="shared" si="78"/>
        <v>1063.2933333333335</v>
      </c>
      <c r="W635" s="245">
        <v>11486</v>
      </c>
      <c r="X635" s="312"/>
      <c r="Y635" s="313"/>
      <c r="Z635" s="114">
        <f t="shared" si="79"/>
        <v>88</v>
      </c>
    </row>
    <row r="636" spans="1:26" s="245" customFormat="1" x14ac:dyDescent="0.25">
      <c r="A636" s="245" t="s">
        <v>2096</v>
      </c>
      <c r="B636" s="245" t="s">
        <v>2097</v>
      </c>
      <c r="C636" s="245" t="s">
        <v>2098</v>
      </c>
      <c r="E636" s="97"/>
      <c r="F636" s="97" t="s">
        <v>2099</v>
      </c>
      <c r="G636" s="132" t="str">
        <f t="shared" si="74"/>
        <v>25/9/2008</v>
      </c>
      <c r="H636" s="245">
        <v>25</v>
      </c>
      <c r="I636" s="245">
        <v>9</v>
      </c>
      <c r="J636" s="245">
        <v>2008</v>
      </c>
      <c r="L636" s="97"/>
      <c r="M636" s="245" t="s">
        <v>796</v>
      </c>
      <c r="N636" s="228">
        <v>11650</v>
      </c>
      <c r="O636" s="228"/>
      <c r="Q636" s="245">
        <v>10</v>
      </c>
      <c r="R636" s="30">
        <f t="shared" si="75"/>
        <v>97.075000000000003</v>
      </c>
      <c r="S636" s="5">
        <v>8445.5249999999996</v>
      </c>
      <c r="T636" s="313">
        <f t="shared" si="76"/>
        <v>8542.6</v>
      </c>
      <c r="U636" s="15">
        <f t="shared" si="77"/>
        <v>97.075000000000728</v>
      </c>
      <c r="V636" s="313">
        <f t="shared" si="78"/>
        <v>3107.3999999999996</v>
      </c>
      <c r="W636" s="245">
        <v>11489</v>
      </c>
      <c r="X636" s="312"/>
      <c r="Y636" s="313"/>
      <c r="Z636" s="114">
        <f t="shared" si="79"/>
        <v>88</v>
      </c>
    </row>
    <row r="637" spans="1:26" s="245" customFormat="1" x14ac:dyDescent="0.25">
      <c r="A637" s="334" t="s">
        <v>2100</v>
      </c>
      <c r="B637" s="334" t="s">
        <v>2101</v>
      </c>
      <c r="C637" s="334"/>
      <c r="D637" s="334"/>
      <c r="E637" s="172"/>
      <c r="F637" s="172" t="s">
        <v>2102</v>
      </c>
      <c r="G637" s="173" t="str">
        <f t="shared" si="74"/>
        <v>25/9/2008</v>
      </c>
      <c r="H637" s="334">
        <v>25</v>
      </c>
      <c r="I637" s="334">
        <v>9</v>
      </c>
      <c r="J637" s="334">
        <v>2008</v>
      </c>
      <c r="K637" s="334" t="s">
        <v>2103</v>
      </c>
      <c r="L637" s="172"/>
      <c r="M637" s="245" t="s">
        <v>796</v>
      </c>
      <c r="N637" s="645">
        <v>6526.8554999999997</v>
      </c>
      <c r="O637" s="645"/>
      <c r="P637" s="334"/>
      <c r="Q637" s="334">
        <v>10</v>
      </c>
      <c r="R637" s="178">
        <f t="shared" si="75"/>
        <v>54.382129166666665</v>
      </c>
      <c r="S637" s="570">
        <v>4731.2452375000003</v>
      </c>
      <c r="T637" s="335">
        <f t="shared" si="76"/>
        <v>4785.6273666666666</v>
      </c>
      <c r="U637" s="572">
        <f t="shared" si="77"/>
        <v>54.382129166666346</v>
      </c>
      <c r="V637" s="335">
        <f t="shared" si="78"/>
        <v>1741.2281333333331</v>
      </c>
      <c r="W637" s="334">
        <v>11496</v>
      </c>
      <c r="X637" s="312"/>
      <c r="Y637" s="313"/>
      <c r="Z637" s="114">
        <f t="shared" si="79"/>
        <v>88</v>
      </c>
    </row>
    <row r="638" spans="1:26" s="245" customFormat="1" x14ac:dyDescent="0.25">
      <c r="A638" s="334" t="s">
        <v>2104</v>
      </c>
      <c r="B638" s="334" t="s">
        <v>2105</v>
      </c>
      <c r="C638" s="334"/>
      <c r="D638" s="334"/>
      <c r="E638" s="172"/>
      <c r="F638" s="172" t="s">
        <v>2102</v>
      </c>
      <c r="G638" s="173" t="str">
        <f t="shared" si="74"/>
        <v>25/9/2008</v>
      </c>
      <c r="H638" s="334">
        <v>25</v>
      </c>
      <c r="I638" s="334">
        <v>9</v>
      </c>
      <c r="J638" s="334">
        <v>2008</v>
      </c>
      <c r="K638" s="334" t="s">
        <v>2103</v>
      </c>
      <c r="L638" s="172"/>
      <c r="M638" s="245" t="s">
        <v>796</v>
      </c>
      <c r="N638" s="645">
        <v>6526.8554999999997</v>
      </c>
      <c r="O638" s="646"/>
      <c r="P638" s="334"/>
      <c r="Q638" s="334">
        <v>10</v>
      </c>
      <c r="R638" s="178">
        <f t="shared" si="75"/>
        <v>54.382129166666665</v>
      </c>
      <c r="S638" s="570">
        <v>4731.2452375000003</v>
      </c>
      <c r="T638" s="335">
        <f t="shared" si="76"/>
        <v>4785.6273666666666</v>
      </c>
      <c r="U638" s="572">
        <f t="shared" si="77"/>
        <v>54.382129166666346</v>
      </c>
      <c r="V638" s="335">
        <f t="shared" si="78"/>
        <v>1741.2281333333331</v>
      </c>
      <c r="W638" s="334">
        <v>11496</v>
      </c>
      <c r="X638" s="312"/>
      <c r="Y638" s="313"/>
      <c r="Z638" s="114">
        <f t="shared" si="79"/>
        <v>88</v>
      </c>
    </row>
    <row r="639" spans="1:26" s="245" customFormat="1" x14ac:dyDescent="0.25">
      <c r="A639" s="334" t="s">
        <v>2106</v>
      </c>
      <c r="B639" s="334" t="s">
        <v>2107</v>
      </c>
      <c r="C639" s="334"/>
      <c r="D639" s="334"/>
      <c r="E639" s="172"/>
      <c r="F639" s="172" t="s">
        <v>2102</v>
      </c>
      <c r="G639" s="173" t="str">
        <f t="shared" si="74"/>
        <v>25/9/2008</v>
      </c>
      <c r="H639" s="334">
        <v>25</v>
      </c>
      <c r="I639" s="334">
        <v>9</v>
      </c>
      <c r="J639" s="334">
        <v>2008</v>
      </c>
      <c r="K639" s="334" t="s">
        <v>2103</v>
      </c>
      <c r="L639" s="172"/>
      <c r="M639" s="245" t="s">
        <v>796</v>
      </c>
      <c r="N639" s="645">
        <v>6526.8554999999997</v>
      </c>
      <c r="O639" s="646"/>
      <c r="P639" s="334"/>
      <c r="Q639" s="334">
        <v>10</v>
      </c>
      <c r="R639" s="178">
        <f t="shared" si="75"/>
        <v>54.382129166666665</v>
      </c>
      <c r="S639" s="570">
        <v>4731.2452375000003</v>
      </c>
      <c r="T639" s="335">
        <f t="shared" si="76"/>
        <v>4785.6273666666666</v>
      </c>
      <c r="U639" s="572">
        <f t="shared" si="77"/>
        <v>54.382129166666346</v>
      </c>
      <c r="V639" s="335">
        <f t="shared" si="78"/>
        <v>1741.2281333333331</v>
      </c>
      <c r="W639" s="334">
        <v>11496</v>
      </c>
      <c r="X639" s="312"/>
      <c r="Y639" s="313"/>
      <c r="Z639" s="114">
        <f t="shared" si="79"/>
        <v>88</v>
      </c>
    </row>
    <row r="640" spans="1:26" s="245" customFormat="1" x14ac:dyDescent="0.25">
      <c r="A640" s="334" t="s">
        <v>2108</v>
      </c>
      <c r="B640" s="334" t="s">
        <v>2109</v>
      </c>
      <c r="C640" s="334"/>
      <c r="D640" s="334"/>
      <c r="E640" s="172"/>
      <c r="F640" s="172" t="s">
        <v>2102</v>
      </c>
      <c r="G640" s="173" t="str">
        <f t="shared" si="74"/>
        <v>25/9/2008</v>
      </c>
      <c r="H640" s="334">
        <v>25</v>
      </c>
      <c r="I640" s="334">
        <v>9</v>
      </c>
      <c r="J640" s="334">
        <v>2008</v>
      </c>
      <c r="K640" s="334" t="s">
        <v>2103</v>
      </c>
      <c r="L640" s="172"/>
      <c r="M640" s="245" t="s">
        <v>796</v>
      </c>
      <c r="N640" s="645">
        <v>6526.8554999999997</v>
      </c>
      <c r="O640" s="646"/>
      <c r="P640" s="334"/>
      <c r="Q640" s="334">
        <v>10</v>
      </c>
      <c r="R640" s="178">
        <f t="shared" si="75"/>
        <v>54.382129166666665</v>
      </c>
      <c r="S640" s="570">
        <v>4731.2452375000003</v>
      </c>
      <c r="T640" s="335">
        <f t="shared" si="76"/>
        <v>4785.6273666666666</v>
      </c>
      <c r="U640" s="572">
        <f t="shared" si="77"/>
        <v>54.382129166666346</v>
      </c>
      <c r="V640" s="335">
        <f t="shared" si="78"/>
        <v>1741.2281333333331</v>
      </c>
      <c r="W640" s="334">
        <v>11496</v>
      </c>
      <c r="X640" s="312"/>
      <c r="Y640" s="313"/>
      <c r="Z640" s="114">
        <f t="shared" si="79"/>
        <v>88</v>
      </c>
    </row>
    <row r="641" spans="1:26" s="245" customFormat="1" x14ac:dyDescent="0.25">
      <c r="A641" s="334" t="s">
        <v>2110</v>
      </c>
      <c r="B641" s="334" t="s">
        <v>2111</v>
      </c>
      <c r="C641" s="334"/>
      <c r="D641" s="334"/>
      <c r="E641" s="172"/>
      <c r="F641" s="172" t="s">
        <v>2102</v>
      </c>
      <c r="G641" s="173" t="str">
        <f t="shared" si="74"/>
        <v>25/9/2008</v>
      </c>
      <c r="H641" s="334">
        <v>25</v>
      </c>
      <c r="I641" s="334">
        <v>9</v>
      </c>
      <c r="J641" s="334">
        <v>2008</v>
      </c>
      <c r="K641" s="334" t="s">
        <v>2103</v>
      </c>
      <c r="L641" s="172"/>
      <c r="M641" s="245" t="s">
        <v>796</v>
      </c>
      <c r="N641" s="645">
        <v>6526.8554999999997</v>
      </c>
      <c r="O641" s="646"/>
      <c r="P641" s="334"/>
      <c r="Q641" s="334">
        <v>10</v>
      </c>
      <c r="R641" s="178">
        <f t="shared" si="75"/>
        <v>54.382129166666665</v>
      </c>
      <c r="S641" s="570">
        <v>4731.2452375000003</v>
      </c>
      <c r="T641" s="335">
        <f t="shared" si="76"/>
        <v>4785.6273666666666</v>
      </c>
      <c r="U641" s="572">
        <f t="shared" si="77"/>
        <v>54.382129166666346</v>
      </c>
      <c r="V641" s="335">
        <f t="shared" si="78"/>
        <v>1741.2281333333331</v>
      </c>
      <c r="W641" s="334">
        <v>11496</v>
      </c>
      <c r="X641" s="312"/>
      <c r="Y641" s="313"/>
      <c r="Z641" s="114">
        <f t="shared" si="79"/>
        <v>88</v>
      </c>
    </row>
    <row r="642" spans="1:26" s="245" customFormat="1" x14ac:dyDescent="0.25">
      <c r="A642" s="334" t="s">
        <v>2112</v>
      </c>
      <c r="B642" s="334" t="s">
        <v>2113</v>
      </c>
      <c r="C642" s="334"/>
      <c r="D642" s="334"/>
      <c r="E642" s="172"/>
      <c r="F642" s="172" t="s">
        <v>2102</v>
      </c>
      <c r="G642" s="173" t="str">
        <f t="shared" si="74"/>
        <v>25/9/2008</v>
      </c>
      <c r="H642" s="334">
        <v>25</v>
      </c>
      <c r="I642" s="334">
        <v>9</v>
      </c>
      <c r="J642" s="334">
        <v>2008</v>
      </c>
      <c r="K642" s="334" t="s">
        <v>2103</v>
      </c>
      <c r="L642" s="172"/>
      <c r="M642" s="245" t="s">
        <v>796</v>
      </c>
      <c r="N642" s="645">
        <v>6526.8554999999997</v>
      </c>
      <c r="O642" s="646"/>
      <c r="P642" s="334"/>
      <c r="Q642" s="334">
        <v>10</v>
      </c>
      <c r="R642" s="178">
        <f t="shared" si="75"/>
        <v>54.382129166666665</v>
      </c>
      <c r="S642" s="570">
        <v>4731.2452375000003</v>
      </c>
      <c r="T642" s="335">
        <f t="shared" si="76"/>
        <v>4785.6273666666666</v>
      </c>
      <c r="U642" s="572">
        <f t="shared" si="77"/>
        <v>54.382129166666346</v>
      </c>
      <c r="V642" s="335">
        <f t="shared" si="78"/>
        <v>1741.2281333333331</v>
      </c>
      <c r="W642" s="334">
        <v>11496</v>
      </c>
      <c r="X642" s="312"/>
      <c r="Y642" s="313"/>
      <c r="Z642" s="114">
        <f t="shared" si="79"/>
        <v>88</v>
      </c>
    </row>
    <row r="643" spans="1:26" s="245" customFormat="1" x14ac:dyDescent="0.25">
      <c r="A643" s="245" t="s">
        <v>2114</v>
      </c>
      <c r="B643" s="245" t="s">
        <v>2857</v>
      </c>
      <c r="E643" s="97"/>
      <c r="F643" s="97" t="s">
        <v>2115</v>
      </c>
      <c r="G643" s="132" t="str">
        <f t="shared" si="74"/>
        <v>10/10/2008</v>
      </c>
      <c r="H643" s="245">
        <v>10</v>
      </c>
      <c r="I643" s="245">
        <v>10</v>
      </c>
      <c r="J643" s="245">
        <v>2008</v>
      </c>
      <c r="K643" s="245" t="s">
        <v>420</v>
      </c>
      <c r="L643" s="97"/>
      <c r="M643" s="245" t="s">
        <v>2002</v>
      </c>
      <c r="N643" s="358">
        <v>631658.68999999994</v>
      </c>
      <c r="O643" s="358"/>
      <c r="Q643" s="245">
        <v>10</v>
      </c>
      <c r="R643" s="30">
        <f t="shared" si="75"/>
        <v>5263.8140833333327</v>
      </c>
      <c r="S643" s="5">
        <v>452688.01116666663</v>
      </c>
      <c r="T643" s="313">
        <f t="shared" si="76"/>
        <v>457951.82524999994</v>
      </c>
      <c r="U643" s="15">
        <f t="shared" si="77"/>
        <v>5263.8140833333018</v>
      </c>
      <c r="V643" s="313">
        <f t="shared" si="78"/>
        <v>173706.86475000001</v>
      </c>
      <c r="W643" s="245">
        <v>11642</v>
      </c>
      <c r="X643" s="312"/>
      <c r="Y643" s="313"/>
      <c r="Z643" s="114">
        <f t="shared" si="79"/>
        <v>87</v>
      </c>
    </row>
    <row r="644" spans="1:26" s="245" customFormat="1" x14ac:dyDescent="0.25">
      <c r="A644" s="245" t="s">
        <v>2116</v>
      </c>
      <c r="B644" s="245" t="s">
        <v>2117</v>
      </c>
      <c r="C644" s="245" t="s">
        <v>2118</v>
      </c>
      <c r="D644" s="245" t="s">
        <v>2119</v>
      </c>
      <c r="E644" s="97"/>
      <c r="F644" s="97" t="s">
        <v>2044</v>
      </c>
      <c r="G644" s="132" t="str">
        <f t="shared" si="74"/>
        <v>22/10/2008</v>
      </c>
      <c r="H644" s="245">
        <v>22</v>
      </c>
      <c r="I644" s="245">
        <v>10</v>
      </c>
      <c r="J644" s="245">
        <v>2008</v>
      </c>
      <c r="K644" s="245" t="s">
        <v>1817</v>
      </c>
      <c r="L644" s="97" t="s">
        <v>2843</v>
      </c>
      <c r="M644" s="245" t="s">
        <v>796</v>
      </c>
      <c r="N644" s="358">
        <v>73688.17515708103</v>
      </c>
      <c r="O644" s="358"/>
      <c r="Q644" s="245">
        <v>10</v>
      </c>
      <c r="R644" s="30">
        <f t="shared" si="75"/>
        <v>614.05979297567524</v>
      </c>
      <c r="S644" s="5">
        <v>52809.142195908069</v>
      </c>
      <c r="T644" s="313">
        <f>Z644*R644</f>
        <v>53423.201988883746</v>
      </c>
      <c r="U644" s="15">
        <f t="shared" si="77"/>
        <v>614.05979297567683</v>
      </c>
      <c r="V644" s="313">
        <f t="shared" si="78"/>
        <v>20264.973168197284</v>
      </c>
      <c r="W644" s="245">
        <v>11645</v>
      </c>
      <c r="X644" s="312"/>
      <c r="Y644" s="313"/>
      <c r="Z644" s="114">
        <f t="shared" si="79"/>
        <v>87</v>
      </c>
    </row>
    <row r="645" spans="1:26" s="245" customFormat="1" x14ac:dyDescent="0.25">
      <c r="A645" s="245" t="s">
        <v>2120</v>
      </c>
      <c r="B645" s="245" t="s">
        <v>2121</v>
      </c>
      <c r="C645" s="245" t="s">
        <v>2118</v>
      </c>
      <c r="D645" s="245" t="s">
        <v>2119</v>
      </c>
      <c r="E645" s="97"/>
      <c r="F645" s="97" t="s">
        <v>2044</v>
      </c>
      <c r="G645" s="132" t="str">
        <f t="shared" si="74"/>
        <v>22/10/2008</v>
      </c>
      <c r="H645" s="245">
        <v>22</v>
      </c>
      <c r="I645" s="245">
        <v>10</v>
      </c>
      <c r="J645" s="245">
        <v>2008</v>
      </c>
      <c r="K645" s="245" t="s">
        <v>1817</v>
      </c>
      <c r="L645" s="97" t="s">
        <v>2843</v>
      </c>
      <c r="M645" s="245" t="s">
        <v>796</v>
      </c>
      <c r="N645" s="358">
        <v>69928.578655894613</v>
      </c>
      <c r="O645" s="358"/>
      <c r="Q645" s="245">
        <v>10</v>
      </c>
      <c r="R645" s="30">
        <f>(((N645)-1)/10)/12</f>
        <v>582.72982213245507</v>
      </c>
      <c r="S645" s="5">
        <v>50114.764703391134</v>
      </c>
      <c r="T645" s="313">
        <f t="shared" si="76"/>
        <v>50697.494525523594</v>
      </c>
      <c r="U645" s="15">
        <f t="shared" si="77"/>
        <v>582.72982213245996</v>
      </c>
      <c r="V645" s="313">
        <f t="shared" si="78"/>
        <v>19231.084130371019</v>
      </c>
      <c r="W645" s="245">
        <v>11645</v>
      </c>
      <c r="X645" s="312"/>
      <c r="Y645" s="313"/>
      <c r="Z645" s="114">
        <f t="shared" si="79"/>
        <v>87</v>
      </c>
    </row>
    <row r="646" spans="1:26" s="245" customFormat="1" x14ac:dyDescent="0.25">
      <c r="A646" s="245" t="s">
        <v>2122</v>
      </c>
      <c r="B646" s="245" t="s">
        <v>2123</v>
      </c>
      <c r="C646" s="245" t="s">
        <v>2124</v>
      </c>
      <c r="E646" s="97"/>
      <c r="F646" s="97" t="s">
        <v>2125</v>
      </c>
      <c r="G646" s="132" t="str">
        <f t="shared" si="74"/>
        <v>29/10/2008</v>
      </c>
      <c r="H646" s="245">
        <v>29</v>
      </c>
      <c r="I646" s="245">
        <v>10</v>
      </c>
      <c r="J646" s="245">
        <v>2008</v>
      </c>
      <c r="K646" s="245" t="s">
        <v>420</v>
      </c>
      <c r="L646" s="97"/>
      <c r="M646" s="245" t="s">
        <v>796</v>
      </c>
      <c r="N646" s="358">
        <v>18032.900000000001</v>
      </c>
      <c r="O646" s="358"/>
      <c r="Q646" s="245">
        <v>10</v>
      </c>
      <c r="R646" s="30">
        <f t="shared" si="75"/>
        <v>150.26583333333335</v>
      </c>
      <c r="S646" s="5">
        <v>12922.861666666668</v>
      </c>
      <c r="T646" s="313">
        <f t="shared" si="76"/>
        <v>13073.127500000001</v>
      </c>
      <c r="U646" s="15">
        <f t="shared" si="77"/>
        <v>150.26583333333292</v>
      </c>
      <c r="V646" s="313">
        <f t="shared" si="78"/>
        <v>4959.7725000000009</v>
      </c>
      <c r="W646" s="245">
        <v>11657</v>
      </c>
      <c r="X646" s="312"/>
      <c r="Y646" s="313"/>
      <c r="Z646" s="114">
        <f t="shared" si="79"/>
        <v>87</v>
      </c>
    </row>
    <row r="647" spans="1:26" s="245" customFormat="1" x14ac:dyDescent="0.25">
      <c r="A647" s="245" t="s">
        <v>2126</v>
      </c>
      <c r="B647" s="245" t="s">
        <v>2127</v>
      </c>
      <c r="D647" s="245" t="s">
        <v>2747</v>
      </c>
      <c r="E647" s="97"/>
      <c r="F647" s="97" t="s">
        <v>2074</v>
      </c>
      <c r="G647" s="132" t="str">
        <f t="shared" si="74"/>
        <v>31/10/2008</v>
      </c>
      <c r="H647" s="245">
        <v>31</v>
      </c>
      <c r="I647" s="245">
        <v>10</v>
      </c>
      <c r="J647" s="245">
        <v>2008</v>
      </c>
      <c r="K647" s="245" t="s">
        <v>2103</v>
      </c>
      <c r="L647" s="97"/>
      <c r="M647" s="245" t="s">
        <v>796</v>
      </c>
      <c r="N647" s="358">
        <v>20778.419999999998</v>
      </c>
      <c r="O647" s="358"/>
      <c r="Q647" s="245">
        <v>10</v>
      </c>
      <c r="R647" s="30">
        <f t="shared" si="75"/>
        <v>173.14516666666665</v>
      </c>
      <c r="S647" s="5">
        <v>14890.484333333332</v>
      </c>
      <c r="T647" s="313">
        <f t="shared" si="76"/>
        <v>15063.629499999999</v>
      </c>
      <c r="U647" s="15">
        <f t="shared" si="77"/>
        <v>173.14516666666714</v>
      </c>
      <c r="V647" s="313">
        <f t="shared" si="78"/>
        <v>5714.7904999999992</v>
      </c>
      <c r="W647" s="245">
        <v>11658</v>
      </c>
      <c r="X647" s="312"/>
      <c r="Y647" s="313"/>
      <c r="Z647" s="114">
        <f t="shared" si="79"/>
        <v>87</v>
      </c>
    </row>
    <row r="648" spans="1:26" s="245" customFormat="1" x14ac:dyDescent="0.25">
      <c r="A648" s="245" t="s">
        <v>2128</v>
      </c>
      <c r="B648" s="245" t="s">
        <v>2129</v>
      </c>
      <c r="D648" s="245" t="s">
        <v>2746</v>
      </c>
      <c r="E648" s="97"/>
      <c r="F648" s="97" t="s">
        <v>2074</v>
      </c>
      <c r="G648" s="132" t="str">
        <f t="shared" si="74"/>
        <v>31/10/2008</v>
      </c>
      <c r="H648" s="245">
        <v>31</v>
      </c>
      <c r="I648" s="245">
        <v>10</v>
      </c>
      <c r="J648" s="245">
        <v>2008</v>
      </c>
      <c r="K648" s="245" t="s">
        <v>420</v>
      </c>
      <c r="L648" s="97"/>
      <c r="M648" s="245" t="s">
        <v>796</v>
      </c>
      <c r="N648" s="358">
        <v>13361.81</v>
      </c>
      <c r="O648" s="358"/>
      <c r="Q648" s="245">
        <v>10</v>
      </c>
      <c r="R648" s="30">
        <f t="shared" si="75"/>
        <v>111.34008333333333</v>
      </c>
      <c r="S648" s="5">
        <v>9575.2471666666661</v>
      </c>
      <c r="T648" s="313">
        <f t="shared" si="76"/>
        <v>9686.5872499999987</v>
      </c>
      <c r="U648" s="15">
        <f t="shared" si="77"/>
        <v>111.34008333333259</v>
      </c>
      <c r="V648" s="313">
        <f t="shared" si="78"/>
        <v>3675.2227500000008</v>
      </c>
      <c r="W648" s="245">
        <v>11658</v>
      </c>
      <c r="X648" s="312"/>
      <c r="Y648" s="313"/>
      <c r="Z648" s="114">
        <f t="shared" si="79"/>
        <v>87</v>
      </c>
    </row>
    <row r="649" spans="1:26" s="245" customFormat="1" x14ac:dyDescent="0.25">
      <c r="A649" s="245" t="s">
        <v>2130</v>
      </c>
      <c r="B649" s="245" t="s">
        <v>2129</v>
      </c>
      <c r="D649" s="245" t="s">
        <v>2746</v>
      </c>
      <c r="E649" s="97"/>
      <c r="F649" s="97" t="s">
        <v>2074</v>
      </c>
      <c r="G649" s="132" t="str">
        <f t="shared" si="74"/>
        <v>31/10/2008</v>
      </c>
      <c r="H649" s="245">
        <v>31</v>
      </c>
      <c r="I649" s="245">
        <v>10</v>
      </c>
      <c r="J649" s="245">
        <v>2008</v>
      </c>
      <c r="K649" s="245" t="s">
        <v>420</v>
      </c>
      <c r="L649" s="97"/>
      <c r="M649" s="245" t="s">
        <v>796</v>
      </c>
      <c r="N649" s="358">
        <v>13361.81</v>
      </c>
      <c r="O649" s="358"/>
      <c r="Q649" s="245">
        <v>10</v>
      </c>
      <c r="R649" s="30">
        <f t="shared" si="75"/>
        <v>111.34008333333333</v>
      </c>
      <c r="S649" s="5">
        <v>9575.2471666666661</v>
      </c>
      <c r="T649" s="313">
        <f t="shared" si="76"/>
        <v>9686.5872499999987</v>
      </c>
      <c r="U649" s="15">
        <f t="shared" si="77"/>
        <v>111.34008333333259</v>
      </c>
      <c r="V649" s="313">
        <f t="shared" si="78"/>
        <v>3675.2227500000008</v>
      </c>
      <c r="W649" s="245">
        <v>11658</v>
      </c>
      <c r="X649" s="312"/>
      <c r="Y649" s="313"/>
      <c r="Z649" s="114">
        <f t="shared" si="79"/>
        <v>87</v>
      </c>
    </row>
    <row r="650" spans="1:26" s="245" customFormat="1" x14ac:dyDescent="0.25">
      <c r="A650" s="245" t="s">
        <v>2131</v>
      </c>
      <c r="B650" s="245" t="s">
        <v>2129</v>
      </c>
      <c r="D650" s="245" t="s">
        <v>2746</v>
      </c>
      <c r="E650" s="97"/>
      <c r="F650" s="97" t="s">
        <v>2074</v>
      </c>
      <c r="G650" s="132" t="str">
        <f t="shared" si="74"/>
        <v>31/10/2008</v>
      </c>
      <c r="H650" s="245">
        <v>31</v>
      </c>
      <c r="I650" s="245">
        <v>10</v>
      </c>
      <c r="J650" s="245">
        <v>2008</v>
      </c>
      <c r="K650" s="245" t="s">
        <v>420</v>
      </c>
      <c r="L650" s="97"/>
      <c r="M650" s="245" t="s">
        <v>796</v>
      </c>
      <c r="N650" s="358">
        <v>13361.81</v>
      </c>
      <c r="O650" s="358"/>
      <c r="Q650" s="245">
        <v>10</v>
      </c>
      <c r="R650" s="30">
        <f t="shared" si="75"/>
        <v>111.34008333333333</v>
      </c>
      <c r="S650" s="5">
        <v>9575.2471666666661</v>
      </c>
      <c r="T650" s="313">
        <f t="shared" si="76"/>
        <v>9686.5872499999987</v>
      </c>
      <c r="U650" s="15">
        <f t="shared" si="77"/>
        <v>111.34008333333259</v>
      </c>
      <c r="V650" s="313">
        <f t="shared" si="78"/>
        <v>3675.2227500000008</v>
      </c>
      <c r="W650" s="245">
        <v>11658</v>
      </c>
      <c r="X650" s="312"/>
      <c r="Y650" s="313"/>
      <c r="Z650" s="114">
        <f t="shared" si="79"/>
        <v>87</v>
      </c>
    </row>
    <row r="651" spans="1:26" s="245" customFormat="1" x14ac:dyDescent="0.25">
      <c r="A651" s="245" t="s">
        <v>2132</v>
      </c>
      <c r="B651" s="245" t="s">
        <v>2133</v>
      </c>
      <c r="D651" s="245" t="s">
        <v>2743</v>
      </c>
      <c r="E651" s="97"/>
      <c r="F651" s="97" t="s">
        <v>2074</v>
      </c>
      <c r="G651" s="132" t="str">
        <f t="shared" si="74"/>
        <v>31/10/2008</v>
      </c>
      <c r="H651" s="245">
        <v>31</v>
      </c>
      <c r="I651" s="245">
        <v>10</v>
      </c>
      <c r="J651" s="245">
        <v>2008</v>
      </c>
      <c r="K651" s="245" t="s">
        <v>420</v>
      </c>
      <c r="L651" s="97"/>
      <c r="M651" s="245" t="s">
        <v>796</v>
      </c>
      <c r="N651" s="358">
        <v>12610.96</v>
      </c>
      <c r="O651" s="358"/>
      <c r="Q651" s="245">
        <v>10</v>
      </c>
      <c r="R651" s="30">
        <f t="shared" si="75"/>
        <v>105.08299999999998</v>
      </c>
      <c r="S651" s="5">
        <v>9037.137999999999</v>
      </c>
      <c r="T651" s="313">
        <f t="shared" si="76"/>
        <v>9142.2209999999977</v>
      </c>
      <c r="U651" s="15">
        <f t="shared" si="77"/>
        <v>105.08299999999872</v>
      </c>
      <c r="V651" s="313">
        <f t="shared" si="78"/>
        <v>3468.7390000000014</v>
      </c>
      <c r="W651" s="245">
        <v>11658</v>
      </c>
      <c r="X651" s="312"/>
      <c r="Y651" s="313"/>
      <c r="Z651" s="114">
        <f t="shared" si="79"/>
        <v>87</v>
      </c>
    </row>
    <row r="652" spans="1:26" s="245" customFormat="1" x14ac:dyDescent="0.25">
      <c r="A652" s="245" t="s">
        <v>2134</v>
      </c>
      <c r="B652" s="245" t="s">
        <v>2133</v>
      </c>
      <c r="D652" s="245" t="s">
        <v>2743</v>
      </c>
      <c r="E652" s="97"/>
      <c r="F652" s="97" t="s">
        <v>2074</v>
      </c>
      <c r="G652" s="132" t="str">
        <f t="shared" si="74"/>
        <v>31/10/2008</v>
      </c>
      <c r="H652" s="245">
        <v>31</v>
      </c>
      <c r="I652" s="245">
        <v>10</v>
      </c>
      <c r="J652" s="245">
        <v>2008</v>
      </c>
      <c r="K652" s="245" t="s">
        <v>420</v>
      </c>
      <c r="L652" s="97"/>
      <c r="M652" s="245" t="s">
        <v>796</v>
      </c>
      <c r="N652" s="358">
        <v>12610.96</v>
      </c>
      <c r="O652" s="358"/>
      <c r="Q652" s="245">
        <v>10</v>
      </c>
      <c r="R652" s="30">
        <f t="shared" si="75"/>
        <v>105.08299999999998</v>
      </c>
      <c r="S652" s="5">
        <v>9037.137999999999</v>
      </c>
      <c r="T652" s="313">
        <f t="shared" si="76"/>
        <v>9142.2209999999977</v>
      </c>
      <c r="U652" s="15">
        <f t="shared" si="77"/>
        <v>105.08299999999872</v>
      </c>
      <c r="V652" s="313">
        <f t="shared" si="78"/>
        <v>3468.7390000000014</v>
      </c>
      <c r="W652" s="245">
        <v>11658</v>
      </c>
      <c r="X652" s="312"/>
      <c r="Y652" s="313"/>
      <c r="Z652" s="114">
        <f t="shared" si="79"/>
        <v>87</v>
      </c>
    </row>
    <row r="653" spans="1:26" s="245" customFormat="1" x14ac:dyDescent="0.25">
      <c r="A653" s="245" t="s">
        <v>2135</v>
      </c>
      <c r="B653" s="245" t="s">
        <v>2133</v>
      </c>
      <c r="D653" s="245" t="s">
        <v>2743</v>
      </c>
      <c r="E653" s="97"/>
      <c r="F653" s="97" t="s">
        <v>2074</v>
      </c>
      <c r="G653" s="132" t="str">
        <f t="shared" si="74"/>
        <v>31/10/2008</v>
      </c>
      <c r="H653" s="245">
        <v>31</v>
      </c>
      <c r="I653" s="245">
        <v>10</v>
      </c>
      <c r="J653" s="245">
        <v>2008</v>
      </c>
      <c r="K653" s="245" t="s">
        <v>420</v>
      </c>
      <c r="L653" s="97"/>
      <c r="M653" s="245" t="s">
        <v>796</v>
      </c>
      <c r="N653" s="358">
        <v>12610.96</v>
      </c>
      <c r="O653" s="358"/>
      <c r="Q653" s="245">
        <v>10</v>
      </c>
      <c r="R653" s="30">
        <f t="shared" si="75"/>
        <v>105.08299999999998</v>
      </c>
      <c r="S653" s="5">
        <v>9037.137999999999</v>
      </c>
      <c r="T653" s="313">
        <f t="shared" si="76"/>
        <v>9142.2209999999977</v>
      </c>
      <c r="U653" s="15">
        <f t="shared" si="77"/>
        <v>105.08299999999872</v>
      </c>
      <c r="V653" s="313">
        <f t="shared" si="78"/>
        <v>3468.7390000000014</v>
      </c>
      <c r="W653" s="245">
        <v>11658</v>
      </c>
      <c r="X653" s="312"/>
      <c r="Y653" s="313"/>
      <c r="Z653" s="114">
        <f t="shared" si="79"/>
        <v>87</v>
      </c>
    </row>
    <row r="654" spans="1:26" s="245" customFormat="1" x14ac:dyDescent="0.25">
      <c r="A654" s="245" t="s">
        <v>2136</v>
      </c>
      <c r="B654" s="245" t="s">
        <v>2133</v>
      </c>
      <c r="D654" s="245" t="s">
        <v>2743</v>
      </c>
      <c r="E654" s="97"/>
      <c r="F654" s="97" t="s">
        <v>2074</v>
      </c>
      <c r="G654" s="132" t="str">
        <f t="shared" si="74"/>
        <v>31/10/2008</v>
      </c>
      <c r="H654" s="245">
        <v>31</v>
      </c>
      <c r="I654" s="245">
        <v>10</v>
      </c>
      <c r="J654" s="245">
        <v>2008</v>
      </c>
      <c r="K654" s="245" t="s">
        <v>420</v>
      </c>
      <c r="L654" s="97"/>
      <c r="M654" s="245" t="s">
        <v>796</v>
      </c>
      <c r="N654" s="358">
        <v>12610.96</v>
      </c>
      <c r="O654" s="358"/>
      <c r="Q654" s="245">
        <v>10</v>
      </c>
      <c r="R654" s="30">
        <f t="shared" si="75"/>
        <v>105.08299999999998</v>
      </c>
      <c r="S654" s="5">
        <v>9037.137999999999</v>
      </c>
      <c r="T654" s="313">
        <f t="shared" si="76"/>
        <v>9142.2209999999977</v>
      </c>
      <c r="U654" s="15">
        <f t="shared" si="77"/>
        <v>105.08299999999872</v>
      </c>
      <c r="V654" s="313">
        <f t="shared" si="78"/>
        <v>3468.7390000000014</v>
      </c>
      <c r="W654" s="245">
        <v>11658</v>
      </c>
      <c r="X654" s="312"/>
      <c r="Y654" s="313"/>
      <c r="Z654" s="114">
        <f t="shared" si="79"/>
        <v>87</v>
      </c>
    </row>
    <row r="655" spans="1:26" s="245" customFormat="1" x14ac:dyDescent="0.25">
      <c r="A655" s="245" t="s">
        <v>2137</v>
      </c>
      <c r="B655" s="245" t="s">
        <v>2133</v>
      </c>
      <c r="D655" s="245" t="s">
        <v>2743</v>
      </c>
      <c r="E655" s="97"/>
      <c r="F655" s="97" t="s">
        <v>2074</v>
      </c>
      <c r="G655" s="132" t="str">
        <f t="shared" si="74"/>
        <v>31/10/2008</v>
      </c>
      <c r="H655" s="245">
        <v>31</v>
      </c>
      <c r="I655" s="245">
        <v>10</v>
      </c>
      <c r="J655" s="245">
        <v>2008</v>
      </c>
      <c r="K655" s="245" t="s">
        <v>420</v>
      </c>
      <c r="L655" s="97"/>
      <c r="M655" s="245" t="s">
        <v>796</v>
      </c>
      <c r="N655" s="358">
        <v>12610.96</v>
      </c>
      <c r="O655" s="358"/>
      <c r="Q655" s="245">
        <v>10</v>
      </c>
      <c r="R655" s="30">
        <f t="shared" si="75"/>
        <v>105.08299999999998</v>
      </c>
      <c r="S655" s="5">
        <v>9037.137999999999</v>
      </c>
      <c r="T655" s="313">
        <f t="shared" si="76"/>
        <v>9142.2209999999977</v>
      </c>
      <c r="U655" s="15">
        <f t="shared" si="77"/>
        <v>105.08299999999872</v>
      </c>
      <c r="V655" s="313">
        <f t="shared" si="78"/>
        <v>3468.7390000000014</v>
      </c>
      <c r="W655" s="245">
        <v>11658</v>
      </c>
      <c r="X655" s="312"/>
      <c r="Y655" s="313"/>
      <c r="Z655" s="114">
        <f t="shared" si="79"/>
        <v>87</v>
      </c>
    </row>
    <row r="656" spans="1:26" s="245" customFormat="1" x14ac:dyDescent="0.25">
      <c r="A656" s="245" t="s">
        <v>2138</v>
      </c>
      <c r="B656" s="245" t="s">
        <v>2133</v>
      </c>
      <c r="D656" s="245" t="s">
        <v>2743</v>
      </c>
      <c r="E656" s="97"/>
      <c r="F656" s="97" t="s">
        <v>2074</v>
      </c>
      <c r="G656" s="132" t="str">
        <f t="shared" si="74"/>
        <v>31/10/2008</v>
      </c>
      <c r="H656" s="245">
        <v>31</v>
      </c>
      <c r="I656" s="245">
        <v>10</v>
      </c>
      <c r="J656" s="245">
        <v>2008</v>
      </c>
      <c r="K656" s="245" t="s">
        <v>420</v>
      </c>
      <c r="L656" s="97"/>
      <c r="M656" s="245" t="s">
        <v>796</v>
      </c>
      <c r="N656" s="358">
        <v>12610.96</v>
      </c>
      <c r="O656" s="358"/>
      <c r="Q656" s="245">
        <v>10</v>
      </c>
      <c r="R656" s="30">
        <f t="shared" si="75"/>
        <v>105.08299999999998</v>
      </c>
      <c r="S656" s="5">
        <v>9037.137999999999</v>
      </c>
      <c r="T656" s="313">
        <f t="shared" si="76"/>
        <v>9142.2209999999977</v>
      </c>
      <c r="U656" s="15">
        <f t="shared" si="77"/>
        <v>105.08299999999872</v>
      </c>
      <c r="V656" s="313">
        <f t="shared" si="78"/>
        <v>3468.7390000000014</v>
      </c>
      <c r="W656" s="245">
        <v>11658</v>
      </c>
      <c r="X656" s="312"/>
      <c r="Y656" s="313"/>
      <c r="Z656" s="114">
        <f t="shared" si="79"/>
        <v>87</v>
      </c>
    </row>
    <row r="657" spans="1:26" s="245" customFormat="1" x14ac:dyDescent="0.25">
      <c r="A657" s="245" t="s">
        <v>2139</v>
      </c>
      <c r="B657" s="245" t="s">
        <v>2133</v>
      </c>
      <c r="D657" s="245" t="s">
        <v>2743</v>
      </c>
      <c r="E657" s="97"/>
      <c r="F657" s="97" t="s">
        <v>2074</v>
      </c>
      <c r="G657" s="132" t="str">
        <f t="shared" ref="G657:G683" si="80">CONCATENATE(H657,"/",I657,"/",J657,)</f>
        <v>31/10/2008</v>
      </c>
      <c r="H657" s="245">
        <v>31</v>
      </c>
      <c r="I657" s="245">
        <v>10</v>
      </c>
      <c r="J657" s="245">
        <v>2008</v>
      </c>
      <c r="K657" s="245" t="s">
        <v>420</v>
      </c>
      <c r="L657" s="97"/>
      <c r="M657" s="245" t="s">
        <v>796</v>
      </c>
      <c r="N657" s="358">
        <v>12610.96</v>
      </c>
      <c r="O657" s="358"/>
      <c r="Q657" s="245">
        <v>10</v>
      </c>
      <c r="R657" s="30">
        <f t="shared" ref="R657:R683" si="81">(((N657)-1)/10)/12</f>
        <v>105.08299999999998</v>
      </c>
      <c r="S657" s="5">
        <v>9037.137999999999</v>
      </c>
      <c r="T657" s="313">
        <f t="shared" ref="T657:T683" si="82">Z657*R657</f>
        <v>9142.2209999999977</v>
      </c>
      <c r="U657" s="15">
        <f t="shared" ref="U657:U683" si="83">T657-S657</f>
        <v>105.08299999999872</v>
      </c>
      <c r="V657" s="313">
        <f t="shared" ref="V657:V683" si="84">N657-T657</f>
        <v>3468.7390000000014</v>
      </c>
      <c r="W657" s="245">
        <v>11658</v>
      </c>
      <c r="X657" s="312"/>
      <c r="Y657" s="313"/>
      <c r="Z657" s="114">
        <f t="shared" ref="Z657:Z683" si="85">IF((DATEDIF(G657,Z$4,"m"))&gt;=120,120,(DATEDIF(G657,Z$4,"m")))</f>
        <v>87</v>
      </c>
    </row>
    <row r="658" spans="1:26" s="245" customFormat="1" x14ac:dyDescent="0.25">
      <c r="A658" s="245" t="s">
        <v>2140</v>
      </c>
      <c r="B658" s="245" t="s">
        <v>2133</v>
      </c>
      <c r="D658" s="245" t="s">
        <v>2743</v>
      </c>
      <c r="E658" s="97"/>
      <c r="F658" s="97" t="s">
        <v>2074</v>
      </c>
      <c r="G658" s="132" t="str">
        <f t="shared" si="80"/>
        <v>31/10/2008</v>
      </c>
      <c r="H658" s="245">
        <v>31</v>
      </c>
      <c r="I658" s="245">
        <v>10</v>
      </c>
      <c r="J658" s="245">
        <v>2008</v>
      </c>
      <c r="K658" s="245" t="s">
        <v>420</v>
      </c>
      <c r="L658" s="97"/>
      <c r="M658" s="245" t="s">
        <v>796</v>
      </c>
      <c r="N658" s="358">
        <v>12610.96</v>
      </c>
      <c r="O658" s="358"/>
      <c r="Q658" s="245">
        <v>10</v>
      </c>
      <c r="R658" s="30">
        <f t="shared" si="81"/>
        <v>105.08299999999998</v>
      </c>
      <c r="S658" s="5">
        <v>9037.137999999999</v>
      </c>
      <c r="T658" s="313">
        <f t="shared" si="82"/>
        <v>9142.2209999999977</v>
      </c>
      <c r="U658" s="15">
        <f t="shared" si="83"/>
        <v>105.08299999999872</v>
      </c>
      <c r="V658" s="313">
        <f t="shared" si="84"/>
        <v>3468.7390000000014</v>
      </c>
      <c r="W658" s="245">
        <v>11658</v>
      </c>
      <c r="X658" s="312"/>
      <c r="Y658" s="313"/>
      <c r="Z658" s="114">
        <f t="shared" si="85"/>
        <v>87</v>
      </c>
    </row>
    <row r="659" spans="1:26" s="245" customFormat="1" x14ac:dyDescent="0.25">
      <c r="A659" s="245" t="s">
        <v>2141</v>
      </c>
      <c r="B659" s="245" t="s">
        <v>2133</v>
      </c>
      <c r="D659" s="245" t="s">
        <v>2743</v>
      </c>
      <c r="E659" s="97"/>
      <c r="F659" s="97" t="s">
        <v>2074</v>
      </c>
      <c r="G659" s="132" t="str">
        <f t="shared" si="80"/>
        <v>31/10/2008</v>
      </c>
      <c r="H659" s="245">
        <v>31</v>
      </c>
      <c r="I659" s="245">
        <v>10</v>
      </c>
      <c r="J659" s="245">
        <v>2008</v>
      </c>
      <c r="K659" s="245" t="s">
        <v>420</v>
      </c>
      <c r="L659" s="97"/>
      <c r="M659" s="245" t="s">
        <v>796</v>
      </c>
      <c r="N659" s="358">
        <v>12610.96</v>
      </c>
      <c r="O659" s="358"/>
      <c r="Q659" s="245">
        <v>10</v>
      </c>
      <c r="R659" s="30">
        <f t="shared" si="81"/>
        <v>105.08299999999998</v>
      </c>
      <c r="S659" s="5">
        <v>9037.137999999999</v>
      </c>
      <c r="T659" s="313">
        <f t="shared" si="82"/>
        <v>9142.2209999999977</v>
      </c>
      <c r="U659" s="15">
        <f t="shared" si="83"/>
        <v>105.08299999999872</v>
      </c>
      <c r="V659" s="313">
        <f t="shared" si="84"/>
        <v>3468.7390000000014</v>
      </c>
      <c r="W659" s="245">
        <v>11658</v>
      </c>
      <c r="X659" s="312"/>
      <c r="Y659" s="313"/>
      <c r="Z659" s="114">
        <f t="shared" si="85"/>
        <v>87</v>
      </c>
    </row>
    <row r="660" spans="1:26" s="245" customFormat="1" x14ac:dyDescent="0.25">
      <c r="A660" s="245" t="s">
        <v>2142</v>
      </c>
      <c r="B660" s="245" t="s">
        <v>2133</v>
      </c>
      <c r="D660" s="245" t="s">
        <v>2743</v>
      </c>
      <c r="E660" s="97"/>
      <c r="F660" s="97" t="s">
        <v>2074</v>
      </c>
      <c r="G660" s="132" t="str">
        <f t="shared" si="80"/>
        <v>31/10/2008</v>
      </c>
      <c r="H660" s="245">
        <v>31</v>
      </c>
      <c r="I660" s="245">
        <v>10</v>
      </c>
      <c r="J660" s="245">
        <v>2008</v>
      </c>
      <c r="K660" s="245" t="s">
        <v>420</v>
      </c>
      <c r="L660" s="97"/>
      <c r="M660" s="245" t="s">
        <v>796</v>
      </c>
      <c r="N660" s="358">
        <v>12610.96</v>
      </c>
      <c r="O660" s="358"/>
      <c r="Q660" s="245">
        <v>10</v>
      </c>
      <c r="R660" s="30">
        <f t="shared" si="81"/>
        <v>105.08299999999998</v>
      </c>
      <c r="S660" s="5">
        <v>9037.137999999999</v>
      </c>
      <c r="T660" s="313">
        <f t="shared" si="82"/>
        <v>9142.2209999999977</v>
      </c>
      <c r="U660" s="15">
        <f t="shared" si="83"/>
        <v>105.08299999999872</v>
      </c>
      <c r="V660" s="313">
        <f t="shared" si="84"/>
        <v>3468.7390000000014</v>
      </c>
      <c r="W660" s="245">
        <v>11658</v>
      </c>
      <c r="X660" s="312"/>
      <c r="Y660" s="313"/>
      <c r="Z660" s="114">
        <f t="shared" si="85"/>
        <v>87</v>
      </c>
    </row>
    <row r="661" spans="1:26" s="245" customFormat="1" x14ac:dyDescent="0.25">
      <c r="A661" s="245" t="s">
        <v>2143</v>
      </c>
      <c r="B661" s="245" t="s">
        <v>2133</v>
      </c>
      <c r="D661" s="245" t="s">
        <v>2743</v>
      </c>
      <c r="E661" s="97"/>
      <c r="F661" s="97" t="s">
        <v>2074</v>
      </c>
      <c r="G661" s="132" t="str">
        <f t="shared" si="80"/>
        <v>31/10/2008</v>
      </c>
      <c r="H661" s="245">
        <v>31</v>
      </c>
      <c r="I661" s="245">
        <v>10</v>
      </c>
      <c r="J661" s="245">
        <v>2008</v>
      </c>
      <c r="K661" s="245" t="s">
        <v>420</v>
      </c>
      <c r="L661" s="97"/>
      <c r="M661" s="245" t="s">
        <v>796</v>
      </c>
      <c r="N661" s="358">
        <v>12610.96</v>
      </c>
      <c r="O661" s="358"/>
      <c r="Q661" s="245">
        <v>10</v>
      </c>
      <c r="R661" s="30">
        <f t="shared" si="81"/>
        <v>105.08299999999998</v>
      </c>
      <c r="S661" s="5">
        <v>9037.137999999999</v>
      </c>
      <c r="T661" s="313">
        <f t="shared" si="82"/>
        <v>9142.2209999999977</v>
      </c>
      <c r="U661" s="15">
        <f t="shared" si="83"/>
        <v>105.08299999999872</v>
      </c>
      <c r="V661" s="313">
        <f t="shared" si="84"/>
        <v>3468.7390000000014</v>
      </c>
      <c r="W661" s="245">
        <v>11658</v>
      </c>
      <c r="X661" s="312"/>
      <c r="Y661" s="313"/>
      <c r="Z661" s="114">
        <f t="shared" si="85"/>
        <v>87</v>
      </c>
    </row>
    <row r="662" spans="1:26" s="245" customFormat="1" x14ac:dyDescent="0.25">
      <c r="A662" s="245" t="s">
        <v>2144</v>
      </c>
      <c r="B662" s="245" t="s">
        <v>2133</v>
      </c>
      <c r="D662" s="245" t="s">
        <v>2743</v>
      </c>
      <c r="E662" s="97"/>
      <c r="F662" s="97" t="s">
        <v>2074</v>
      </c>
      <c r="G662" s="132" t="str">
        <f t="shared" si="80"/>
        <v>31/10/2008</v>
      </c>
      <c r="H662" s="245">
        <v>31</v>
      </c>
      <c r="I662" s="245">
        <v>10</v>
      </c>
      <c r="J662" s="245">
        <v>2008</v>
      </c>
      <c r="K662" s="245" t="s">
        <v>420</v>
      </c>
      <c r="L662" s="97"/>
      <c r="M662" s="245" t="s">
        <v>796</v>
      </c>
      <c r="N662" s="358">
        <v>12610.96</v>
      </c>
      <c r="O662" s="358"/>
      <c r="Q662" s="245">
        <v>10</v>
      </c>
      <c r="R662" s="30">
        <f t="shared" si="81"/>
        <v>105.08299999999998</v>
      </c>
      <c r="S662" s="5">
        <v>9037.137999999999</v>
      </c>
      <c r="T662" s="313">
        <f t="shared" si="82"/>
        <v>9142.2209999999977</v>
      </c>
      <c r="U662" s="15">
        <f t="shared" si="83"/>
        <v>105.08299999999872</v>
      </c>
      <c r="V662" s="313">
        <f t="shared" si="84"/>
        <v>3468.7390000000014</v>
      </c>
      <c r="W662" s="245">
        <v>11658</v>
      </c>
      <c r="X662" s="312"/>
      <c r="Y662" s="313"/>
      <c r="Z662" s="114">
        <f t="shared" si="85"/>
        <v>87</v>
      </c>
    </row>
    <row r="663" spans="1:26" s="245" customFormat="1" x14ac:dyDescent="0.25">
      <c r="A663" s="245" t="s">
        <v>2145</v>
      </c>
      <c r="B663" s="245" t="s">
        <v>2133</v>
      </c>
      <c r="D663" s="245" t="s">
        <v>2743</v>
      </c>
      <c r="E663" s="97"/>
      <c r="F663" s="97" t="s">
        <v>2074</v>
      </c>
      <c r="G663" s="132" t="str">
        <f t="shared" si="80"/>
        <v>31/10/2008</v>
      </c>
      <c r="H663" s="245">
        <v>31</v>
      </c>
      <c r="I663" s="245">
        <v>10</v>
      </c>
      <c r="J663" s="245">
        <v>2008</v>
      </c>
      <c r="K663" s="245" t="s">
        <v>420</v>
      </c>
      <c r="L663" s="97"/>
      <c r="M663" s="245" t="s">
        <v>796</v>
      </c>
      <c r="N663" s="358">
        <v>12610.96</v>
      </c>
      <c r="O663" s="358"/>
      <c r="Q663" s="245">
        <v>10</v>
      </c>
      <c r="R663" s="30">
        <f t="shared" si="81"/>
        <v>105.08299999999998</v>
      </c>
      <c r="S663" s="5">
        <v>9037.137999999999</v>
      </c>
      <c r="T663" s="313">
        <f t="shared" si="82"/>
        <v>9142.2209999999977</v>
      </c>
      <c r="U663" s="15">
        <f t="shared" si="83"/>
        <v>105.08299999999872</v>
      </c>
      <c r="V663" s="313">
        <f t="shared" si="84"/>
        <v>3468.7390000000014</v>
      </c>
      <c r="W663" s="245">
        <v>11658</v>
      </c>
      <c r="X663" s="312"/>
      <c r="Y663" s="313"/>
      <c r="Z663" s="114">
        <f t="shared" si="85"/>
        <v>87</v>
      </c>
    </row>
    <row r="664" spans="1:26" s="245" customFormat="1" x14ac:dyDescent="0.25">
      <c r="A664" s="245" t="s">
        <v>2146</v>
      </c>
      <c r="B664" s="245" t="s">
        <v>2133</v>
      </c>
      <c r="D664" s="245" t="s">
        <v>2743</v>
      </c>
      <c r="E664" s="97"/>
      <c r="F664" s="97" t="s">
        <v>2074</v>
      </c>
      <c r="G664" s="132" t="str">
        <f t="shared" si="80"/>
        <v>31/10/2008</v>
      </c>
      <c r="H664" s="245">
        <v>31</v>
      </c>
      <c r="I664" s="245">
        <v>10</v>
      </c>
      <c r="J664" s="245">
        <v>2008</v>
      </c>
      <c r="K664" s="245" t="s">
        <v>420</v>
      </c>
      <c r="L664" s="97"/>
      <c r="M664" s="245" t="s">
        <v>796</v>
      </c>
      <c r="N664" s="358">
        <v>12610.96</v>
      </c>
      <c r="O664" s="358"/>
      <c r="Q664" s="245">
        <v>10</v>
      </c>
      <c r="R664" s="30">
        <f t="shared" si="81"/>
        <v>105.08299999999998</v>
      </c>
      <c r="S664" s="5">
        <v>9037.137999999999</v>
      </c>
      <c r="T664" s="313">
        <f t="shared" si="82"/>
        <v>9142.2209999999977</v>
      </c>
      <c r="U664" s="15">
        <f t="shared" si="83"/>
        <v>105.08299999999872</v>
      </c>
      <c r="V664" s="313">
        <f t="shared" si="84"/>
        <v>3468.7390000000014</v>
      </c>
      <c r="W664" s="245">
        <v>11658</v>
      </c>
      <c r="X664" s="312"/>
      <c r="Y664" s="313"/>
      <c r="Z664" s="114">
        <f t="shared" si="85"/>
        <v>87</v>
      </c>
    </row>
    <row r="665" spans="1:26" s="245" customFormat="1" x14ac:dyDescent="0.25">
      <c r="A665" s="245" t="s">
        <v>2147</v>
      </c>
      <c r="B665" s="245" t="s">
        <v>2133</v>
      </c>
      <c r="D665" s="245" t="s">
        <v>2743</v>
      </c>
      <c r="E665" s="97"/>
      <c r="F665" s="97" t="s">
        <v>2074</v>
      </c>
      <c r="G665" s="132" t="str">
        <f t="shared" si="80"/>
        <v>31/10/2008</v>
      </c>
      <c r="H665" s="245">
        <v>31</v>
      </c>
      <c r="I665" s="245">
        <v>10</v>
      </c>
      <c r="J665" s="245">
        <v>2008</v>
      </c>
      <c r="K665" s="245" t="s">
        <v>420</v>
      </c>
      <c r="L665" s="97"/>
      <c r="M665" s="245" t="s">
        <v>796</v>
      </c>
      <c r="N665" s="358">
        <v>12610.96</v>
      </c>
      <c r="O665" s="358"/>
      <c r="Q665" s="245">
        <v>10</v>
      </c>
      <c r="R665" s="30">
        <f t="shared" si="81"/>
        <v>105.08299999999998</v>
      </c>
      <c r="S665" s="5">
        <v>9037.137999999999</v>
      </c>
      <c r="T665" s="313">
        <f t="shared" si="82"/>
        <v>9142.2209999999977</v>
      </c>
      <c r="U665" s="15">
        <f t="shared" si="83"/>
        <v>105.08299999999872</v>
      </c>
      <c r="V665" s="313">
        <f t="shared" si="84"/>
        <v>3468.7390000000014</v>
      </c>
      <c r="W665" s="245">
        <v>11658</v>
      </c>
      <c r="X665" s="312"/>
      <c r="Y665" s="313"/>
      <c r="Z665" s="114">
        <f t="shared" si="85"/>
        <v>87</v>
      </c>
    </row>
    <row r="666" spans="1:26" s="245" customFormat="1" x14ac:dyDescent="0.25">
      <c r="A666" s="245" t="s">
        <v>2148</v>
      </c>
      <c r="B666" s="245" t="s">
        <v>2133</v>
      </c>
      <c r="D666" s="245" t="s">
        <v>2743</v>
      </c>
      <c r="E666" s="97"/>
      <c r="F666" s="97" t="s">
        <v>2074</v>
      </c>
      <c r="G666" s="132" t="str">
        <f t="shared" si="80"/>
        <v>31/10/2008</v>
      </c>
      <c r="H666" s="245">
        <v>31</v>
      </c>
      <c r="I666" s="245">
        <v>10</v>
      </c>
      <c r="J666" s="245">
        <v>2008</v>
      </c>
      <c r="K666" s="245" t="s">
        <v>420</v>
      </c>
      <c r="L666" s="97"/>
      <c r="M666" s="245" t="s">
        <v>796</v>
      </c>
      <c r="N666" s="358">
        <v>12610.96</v>
      </c>
      <c r="O666" s="358"/>
      <c r="Q666" s="245">
        <v>10</v>
      </c>
      <c r="R666" s="30">
        <f t="shared" si="81"/>
        <v>105.08299999999998</v>
      </c>
      <c r="S666" s="5">
        <v>9037.137999999999</v>
      </c>
      <c r="T666" s="313">
        <f t="shared" si="82"/>
        <v>9142.2209999999977</v>
      </c>
      <c r="U666" s="15">
        <f t="shared" si="83"/>
        <v>105.08299999999872</v>
      </c>
      <c r="V666" s="313">
        <f t="shared" si="84"/>
        <v>3468.7390000000014</v>
      </c>
      <c r="W666" s="245">
        <v>11658</v>
      </c>
      <c r="X666" s="312"/>
      <c r="Y666" s="313"/>
      <c r="Z666" s="114">
        <f t="shared" si="85"/>
        <v>87</v>
      </c>
    </row>
    <row r="667" spans="1:26" s="245" customFormat="1" x14ac:dyDescent="0.25">
      <c r="A667" s="245" t="s">
        <v>2149</v>
      </c>
      <c r="B667" s="245" t="s">
        <v>2133</v>
      </c>
      <c r="D667" s="245" t="s">
        <v>2743</v>
      </c>
      <c r="E667" s="97"/>
      <c r="F667" s="97" t="s">
        <v>2074</v>
      </c>
      <c r="G667" s="132" t="str">
        <f t="shared" si="80"/>
        <v>31/10/2008</v>
      </c>
      <c r="H667" s="245">
        <v>31</v>
      </c>
      <c r="I667" s="245">
        <v>10</v>
      </c>
      <c r="J667" s="245">
        <v>2008</v>
      </c>
      <c r="K667" s="245" t="s">
        <v>420</v>
      </c>
      <c r="L667" s="97"/>
      <c r="M667" s="245" t="s">
        <v>796</v>
      </c>
      <c r="N667" s="358">
        <v>12610.96</v>
      </c>
      <c r="O667" s="358"/>
      <c r="Q667" s="245">
        <v>10</v>
      </c>
      <c r="R667" s="30">
        <f t="shared" si="81"/>
        <v>105.08299999999998</v>
      </c>
      <c r="S667" s="5">
        <v>9037.137999999999</v>
      </c>
      <c r="T667" s="313">
        <f t="shared" si="82"/>
        <v>9142.2209999999977</v>
      </c>
      <c r="U667" s="15">
        <f t="shared" si="83"/>
        <v>105.08299999999872</v>
      </c>
      <c r="V667" s="313">
        <f t="shared" si="84"/>
        <v>3468.7390000000014</v>
      </c>
      <c r="W667" s="245">
        <v>11658</v>
      </c>
      <c r="X667" s="312"/>
      <c r="Y667" s="313"/>
      <c r="Z667" s="114">
        <f t="shared" si="85"/>
        <v>87</v>
      </c>
    </row>
    <row r="668" spans="1:26" s="245" customFormat="1" x14ac:dyDescent="0.25">
      <c r="A668" s="245" t="s">
        <v>2150</v>
      </c>
      <c r="B668" s="245" t="s">
        <v>2133</v>
      </c>
      <c r="D668" s="245" t="s">
        <v>2743</v>
      </c>
      <c r="E668" s="97"/>
      <c r="F668" s="97" t="s">
        <v>2074</v>
      </c>
      <c r="G668" s="132" t="str">
        <f t="shared" si="80"/>
        <v>31/10/2008</v>
      </c>
      <c r="H668" s="245">
        <v>31</v>
      </c>
      <c r="I668" s="245">
        <v>10</v>
      </c>
      <c r="J668" s="245">
        <v>2008</v>
      </c>
      <c r="K668" s="245" t="s">
        <v>420</v>
      </c>
      <c r="L668" s="97"/>
      <c r="M668" s="245" t="s">
        <v>796</v>
      </c>
      <c r="N668" s="358">
        <v>12610.96</v>
      </c>
      <c r="O668" s="358"/>
      <c r="Q668" s="245">
        <v>10</v>
      </c>
      <c r="R668" s="30">
        <f t="shared" si="81"/>
        <v>105.08299999999998</v>
      </c>
      <c r="S668" s="5">
        <v>9037.137999999999</v>
      </c>
      <c r="T668" s="313">
        <f t="shared" si="82"/>
        <v>9142.2209999999977</v>
      </c>
      <c r="U668" s="15">
        <f t="shared" si="83"/>
        <v>105.08299999999872</v>
      </c>
      <c r="V668" s="313">
        <f t="shared" si="84"/>
        <v>3468.7390000000014</v>
      </c>
      <c r="W668" s="245">
        <v>11658</v>
      </c>
      <c r="X668" s="312"/>
      <c r="Y668" s="313"/>
      <c r="Z668" s="114">
        <f t="shared" si="85"/>
        <v>87</v>
      </c>
    </row>
    <row r="669" spans="1:26" s="245" customFormat="1" x14ac:dyDescent="0.25">
      <c r="A669" s="245" t="s">
        <v>2151</v>
      </c>
      <c r="B669" s="245" t="s">
        <v>2133</v>
      </c>
      <c r="D669" s="245" t="s">
        <v>2743</v>
      </c>
      <c r="E669" s="97"/>
      <c r="F669" s="97" t="s">
        <v>2074</v>
      </c>
      <c r="G669" s="132" t="str">
        <f t="shared" si="80"/>
        <v>31/10/2008</v>
      </c>
      <c r="H669" s="245">
        <v>31</v>
      </c>
      <c r="I669" s="245">
        <v>10</v>
      </c>
      <c r="J669" s="245">
        <v>2008</v>
      </c>
      <c r="K669" s="245" t="s">
        <v>420</v>
      </c>
      <c r="L669" s="97"/>
      <c r="M669" s="245" t="s">
        <v>796</v>
      </c>
      <c r="N669" s="358">
        <v>12610.96</v>
      </c>
      <c r="O669" s="358"/>
      <c r="Q669" s="245">
        <v>10</v>
      </c>
      <c r="R669" s="30">
        <f t="shared" si="81"/>
        <v>105.08299999999998</v>
      </c>
      <c r="S669" s="5">
        <v>9037.137999999999</v>
      </c>
      <c r="T669" s="313">
        <f t="shared" si="82"/>
        <v>9142.2209999999977</v>
      </c>
      <c r="U669" s="15">
        <f t="shared" si="83"/>
        <v>105.08299999999872</v>
      </c>
      <c r="V669" s="313">
        <f t="shared" si="84"/>
        <v>3468.7390000000014</v>
      </c>
      <c r="W669" s="245">
        <v>11658</v>
      </c>
      <c r="X669" s="312"/>
      <c r="Y669" s="313"/>
      <c r="Z669" s="114">
        <f t="shared" si="85"/>
        <v>87</v>
      </c>
    </row>
    <row r="670" spans="1:26" s="245" customFormat="1" x14ac:dyDescent="0.25">
      <c r="A670" s="245" t="s">
        <v>2152</v>
      </c>
      <c r="B670" s="245" t="s">
        <v>2153</v>
      </c>
      <c r="D670" s="245" t="s">
        <v>2744</v>
      </c>
      <c r="E670" s="97"/>
      <c r="F670" s="97" t="s">
        <v>2074</v>
      </c>
      <c r="G670" s="132" t="str">
        <f t="shared" si="80"/>
        <v>31/10/2008</v>
      </c>
      <c r="H670" s="245">
        <v>31</v>
      </c>
      <c r="I670" s="245">
        <v>10</v>
      </c>
      <c r="J670" s="245">
        <v>2008</v>
      </c>
      <c r="K670" s="245" t="s">
        <v>420</v>
      </c>
      <c r="L670" s="97"/>
      <c r="M670" s="245" t="s">
        <v>796</v>
      </c>
      <c r="N670" s="358">
        <v>19991.240000000002</v>
      </c>
      <c r="O670" s="358"/>
      <c r="Q670" s="245">
        <v>10</v>
      </c>
      <c r="R670" s="30">
        <f t="shared" si="81"/>
        <v>166.58533333333335</v>
      </c>
      <c r="S670" s="5">
        <v>14326.338666666668</v>
      </c>
      <c r="T670" s="313">
        <f t="shared" si="82"/>
        <v>14492.924000000001</v>
      </c>
      <c r="U670" s="15">
        <f t="shared" si="83"/>
        <v>166.58533333333253</v>
      </c>
      <c r="V670" s="313">
        <f t="shared" si="84"/>
        <v>5498.3160000000007</v>
      </c>
      <c r="W670" s="245">
        <v>11658</v>
      </c>
      <c r="X670" s="312"/>
      <c r="Y670" s="313"/>
      <c r="Z670" s="114">
        <f t="shared" si="85"/>
        <v>87</v>
      </c>
    </row>
    <row r="671" spans="1:26" s="245" customFormat="1" x14ac:dyDescent="0.25">
      <c r="A671" s="245" t="s">
        <v>2154</v>
      </c>
      <c r="B671" s="245" t="s">
        <v>2153</v>
      </c>
      <c r="D671" s="245" t="s">
        <v>2744</v>
      </c>
      <c r="E671" s="97"/>
      <c r="F671" s="97" t="s">
        <v>2074</v>
      </c>
      <c r="G671" s="132" t="str">
        <f t="shared" si="80"/>
        <v>31/10/2008</v>
      </c>
      <c r="H671" s="245">
        <v>31</v>
      </c>
      <c r="I671" s="245">
        <v>10</v>
      </c>
      <c r="J671" s="245">
        <v>2008</v>
      </c>
      <c r="K671" s="245" t="s">
        <v>420</v>
      </c>
      <c r="L671" s="97"/>
      <c r="M671" s="245" t="s">
        <v>796</v>
      </c>
      <c r="N671" s="358">
        <v>19991.240000000002</v>
      </c>
      <c r="O671" s="358"/>
      <c r="Q671" s="245">
        <v>10</v>
      </c>
      <c r="R671" s="30">
        <f t="shared" si="81"/>
        <v>166.58533333333335</v>
      </c>
      <c r="S671" s="5">
        <v>14326.338666666668</v>
      </c>
      <c r="T671" s="313">
        <f t="shared" si="82"/>
        <v>14492.924000000001</v>
      </c>
      <c r="U671" s="15">
        <f t="shared" si="83"/>
        <v>166.58533333333253</v>
      </c>
      <c r="V671" s="313">
        <f t="shared" si="84"/>
        <v>5498.3160000000007</v>
      </c>
      <c r="W671" s="245">
        <v>11658</v>
      </c>
      <c r="X671" s="312"/>
      <c r="Y671" s="313"/>
      <c r="Z671" s="114">
        <f t="shared" si="85"/>
        <v>87</v>
      </c>
    </row>
    <row r="672" spans="1:26" s="245" customFormat="1" x14ac:dyDescent="0.25">
      <c r="A672" s="245" t="s">
        <v>2155</v>
      </c>
      <c r="B672" s="245" t="s">
        <v>2153</v>
      </c>
      <c r="D672" s="245" t="s">
        <v>2744</v>
      </c>
      <c r="E672" s="97"/>
      <c r="F672" s="97" t="s">
        <v>2074</v>
      </c>
      <c r="G672" s="132" t="str">
        <f t="shared" si="80"/>
        <v>31/10/2008</v>
      </c>
      <c r="H672" s="245">
        <v>31</v>
      </c>
      <c r="I672" s="245">
        <v>10</v>
      </c>
      <c r="J672" s="245">
        <v>2008</v>
      </c>
      <c r="K672" s="245" t="s">
        <v>420</v>
      </c>
      <c r="L672" s="97"/>
      <c r="M672" s="245" t="s">
        <v>796</v>
      </c>
      <c r="N672" s="358">
        <v>19991.240000000002</v>
      </c>
      <c r="O672" s="358"/>
      <c r="Q672" s="245">
        <v>10</v>
      </c>
      <c r="R672" s="30">
        <f t="shared" si="81"/>
        <v>166.58533333333335</v>
      </c>
      <c r="S672" s="5">
        <v>14326.338666666668</v>
      </c>
      <c r="T672" s="313">
        <f t="shared" si="82"/>
        <v>14492.924000000001</v>
      </c>
      <c r="U672" s="15">
        <f t="shared" si="83"/>
        <v>166.58533333333253</v>
      </c>
      <c r="V672" s="313">
        <f t="shared" si="84"/>
        <v>5498.3160000000007</v>
      </c>
      <c r="W672" s="245">
        <v>11658</v>
      </c>
      <c r="X672" s="312"/>
      <c r="Y672" s="313"/>
      <c r="Z672" s="114">
        <f t="shared" si="85"/>
        <v>87</v>
      </c>
    </row>
    <row r="673" spans="1:27" s="245" customFormat="1" x14ac:dyDescent="0.25">
      <c r="A673" s="245" t="s">
        <v>2156</v>
      </c>
      <c r="B673" s="245" t="s">
        <v>2153</v>
      </c>
      <c r="D673" s="245" t="s">
        <v>2744</v>
      </c>
      <c r="E673" s="97"/>
      <c r="F673" s="97" t="s">
        <v>2074</v>
      </c>
      <c r="G673" s="132" t="str">
        <f t="shared" si="80"/>
        <v>31/10/2008</v>
      </c>
      <c r="H673" s="245">
        <v>31</v>
      </c>
      <c r="I673" s="245">
        <v>10</v>
      </c>
      <c r="J673" s="245">
        <v>2008</v>
      </c>
      <c r="K673" s="245" t="s">
        <v>420</v>
      </c>
      <c r="L673" s="97"/>
      <c r="M673" s="245" t="s">
        <v>796</v>
      </c>
      <c r="N673" s="358">
        <v>19991.240000000002</v>
      </c>
      <c r="O673" s="358"/>
      <c r="Q673" s="245">
        <v>10</v>
      </c>
      <c r="R673" s="30">
        <f t="shared" si="81"/>
        <v>166.58533333333335</v>
      </c>
      <c r="S673" s="5">
        <v>14326.338666666668</v>
      </c>
      <c r="T673" s="313">
        <f t="shared" si="82"/>
        <v>14492.924000000001</v>
      </c>
      <c r="U673" s="15">
        <f t="shared" si="83"/>
        <v>166.58533333333253</v>
      </c>
      <c r="V673" s="313">
        <f t="shared" si="84"/>
        <v>5498.3160000000007</v>
      </c>
      <c r="W673" s="245">
        <v>11658</v>
      </c>
      <c r="X673" s="312"/>
      <c r="Y673" s="313"/>
      <c r="Z673" s="114">
        <f t="shared" si="85"/>
        <v>87</v>
      </c>
    </row>
    <row r="674" spans="1:27" s="245" customFormat="1" x14ac:dyDescent="0.25">
      <c r="A674" s="245" t="s">
        <v>2157</v>
      </c>
      <c r="B674" s="245" t="s">
        <v>2158</v>
      </c>
      <c r="D674" s="245" t="s">
        <v>2745</v>
      </c>
      <c r="E674" s="97"/>
      <c r="F674" s="97" t="s">
        <v>2074</v>
      </c>
      <c r="G674" s="132" t="str">
        <f t="shared" si="80"/>
        <v>31/10/2008</v>
      </c>
      <c r="H674" s="245">
        <v>31</v>
      </c>
      <c r="I674" s="245">
        <v>10</v>
      </c>
      <c r="J674" s="245">
        <v>2008</v>
      </c>
      <c r="K674" s="245" t="s">
        <v>420</v>
      </c>
      <c r="L674" s="97"/>
      <c r="M674" s="245" t="s">
        <v>796</v>
      </c>
      <c r="N674" s="358">
        <v>7006.88</v>
      </c>
      <c r="O674" s="358"/>
      <c r="Q674" s="245">
        <v>10</v>
      </c>
      <c r="R674" s="30">
        <f t="shared" si="81"/>
        <v>58.382333333333328</v>
      </c>
      <c r="S674" s="5">
        <v>5020.880666666666</v>
      </c>
      <c r="T674" s="313">
        <f t="shared" si="82"/>
        <v>5079.2629999999999</v>
      </c>
      <c r="U674" s="15">
        <f t="shared" si="83"/>
        <v>58.382333333333918</v>
      </c>
      <c r="V674" s="313">
        <f t="shared" si="84"/>
        <v>1927.6170000000002</v>
      </c>
      <c r="W674" s="245">
        <v>11658</v>
      </c>
      <c r="X674" s="312"/>
      <c r="Y674" s="313"/>
      <c r="Z674" s="114">
        <f t="shared" si="85"/>
        <v>87</v>
      </c>
    </row>
    <row r="675" spans="1:27" s="245" customFormat="1" x14ac:dyDescent="0.25">
      <c r="A675" s="245" t="s">
        <v>2159</v>
      </c>
      <c r="B675" s="245" t="s">
        <v>2158</v>
      </c>
      <c r="D675" s="245" t="s">
        <v>2745</v>
      </c>
      <c r="E675" s="97"/>
      <c r="F675" s="97" t="s">
        <v>2074</v>
      </c>
      <c r="G675" s="132" t="str">
        <f t="shared" si="80"/>
        <v>31/10/2008</v>
      </c>
      <c r="H675" s="245">
        <v>31</v>
      </c>
      <c r="I675" s="245">
        <v>10</v>
      </c>
      <c r="J675" s="245">
        <v>2008</v>
      </c>
      <c r="K675" s="245" t="s">
        <v>420</v>
      </c>
      <c r="L675" s="97"/>
      <c r="M675" s="245" t="s">
        <v>796</v>
      </c>
      <c r="N675" s="358">
        <v>7006.88</v>
      </c>
      <c r="O675" s="358"/>
      <c r="Q675" s="245">
        <v>10</v>
      </c>
      <c r="R675" s="30">
        <f t="shared" si="81"/>
        <v>58.382333333333328</v>
      </c>
      <c r="S675" s="5">
        <v>5020.880666666666</v>
      </c>
      <c r="T675" s="313">
        <f t="shared" si="82"/>
        <v>5079.2629999999999</v>
      </c>
      <c r="U675" s="15">
        <f t="shared" si="83"/>
        <v>58.382333333333918</v>
      </c>
      <c r="V675" s="313">
        <f t="shared" si="84"/>
        <v>1927.6170000000002</v>
      </c>
      <c r="W675" s="245">
        <v>11658</v>
      </c>
      <c r="X675" s="312"/>
      <c r="Y675" s="313"/>
      <c r="Z675" s="114">
        <f t="shared" si="85"/>
        <v>87</v>
      </c>
    </row>
    <row r="676" spans="1:27" s="245" customFormat="1" x14ac:dyDescent="0.25">
      <c r="A676" s="245" t="s">
        <v>2160</v>
      </c>
      <c r="B676" s="245" t="s">
        <v>2158</v>
      </c>
      <c r="D676" s="245" t="s">
        <v>2745</v>
      </c>
      <c r="E676" s="97"/>
      <c r="F676" s="97" t="s">
        <v>2074</v>
      </c>
      <c r="G676" s="132" t="str">
        <f t="shared" si="80"/>
        <v>31/10/2008</v>
      </c>
      <c r="H676" s="245">
        <v>31</v>
      </c>
      <c r="I676" s="245">
        <v>10</v>
      </c>
      <c r="J676" s="245">
        <v>2008</v>
      </c>
      <c r="K676" s="245" t="s">
        <v>420</v>
      </c>
      <c r="L676" s="97"/>
      <c r="M676" s="245" t="s">
        <v>796</v>
      </c>
      <c r="N676" s="358">
        <v>7006.88</v>
      </c>
      <c r="O676" s="358"/>
      <c r="Q676" s="245">
        <v>10</v>
      </c>
      <c r="R676" s="30">
        <f t="shared" si="81"/>
        <v>58.382333333333328</v>
      </c>
      <c r="S676" s="5">
        <v>5020.880666666666</v>
      </c>
      <c r="T676" s="313">
        <f t="shared" si="82"/>
        <v>5079.2629999999999</v>
      </c>
      <c r="U676" s="15">
        <f t="shared" si="83"/>
        <v>58.382333333333918</v>
      </c>
      <c r="V676" s="313">
        <f t="shared" si="84"/>
        <v>1927.6170000000002</v>
      </c>
      <c r="W676" s="245">
        <v>11658</v>
      </c>
      <c r="X676" s="312"/>
      <c r="Y676" s="313"/>
      <c r="Z676" s="114">
        <f t="shared" si="85"/>
        <v>87</v>
      </c>
    </row>
    <row r="677" spans="1:27" s="245" customFormat="1" x14ac:dyDescent="0.25">
      <c r="A677" s="245" t="s">
        <v>2161</v>
      </c>
      <c r="B677" s="245" t="s">
        <v>2158</v>
      </c>
      <c r="D677" s="245" t="s">
        <v>2745</v>
      </c>
      <c r="E677" s="97"/>
      <c r="F677" s="97" t="s">
        <v>2074</v>
      </c>
      <c r="G677" s="132" t="str">
        <f t="shared" si="80"/>
        <v>31/10/2008</v>
      </c>
      <c r="H677" s="245">
        <v>31</v>
      </c>
      <c r="I677" s="245">
        <v>10</v>
      </c>
      <c r="J677" s="245">
        <v>2008</v>
      </c>
      <c r="K677" s="245" t="s">
        <v>420</v>
      </c>
      <c r="L677" s="97"/>
      <c r="M677" s="245" t="s">
        <v>796</v>
      </c>
      <c r="N677" s="358">
        <v>7006.88</v>
      </c>
      <c r="O677" s="358"/>
      <c r="Q677" s="245">
        <v>10</v>
      </c>
      <c r="R677" s="30">
        <f t="shared" si="81"/>
        <v>58.382333333333328</v>
      </c>
      <c r="S677" s="5">
        <v>5020.880666666666</v>
      </c>
      <c r="T677" s="313">
        <f t="shared" si="82"/>
        <v>5079.2629999999999</v>
      </c>
      <c r="U677" s="15">
        <f t="shared" si="83"/>
        <v>58.382333333333918</v>
      </c>
      <c r="V677" s="313">
        <f t="shared" si="84"/>
        <v>1927.6170000000002</v>
      </c>
      <c r="W677" s="245">
        <v>11658</v>
      </c>
      <c r="X677" s="312"/>
      <c r="Y677" s="313"/>
      <c r="Z677" s="114">
        <f t="shared" si="85"/>
        <v>87</v>
      </c>
    </row>
    <row r="678" spans="1:27" s="245" customFormat="1" x14ac:dyDescent="0.25">
      <c r="A678" s="245" t="s">
        <v>2162</v>
      </c>
      <c r="B678" s="245" t="s">
        <v>2158</v>
      </c>
      <c r="D678" s="245" t="s">
        <v>2745</v>
      </c>
      <c r="E678" s="97"/>
      <c r="F678" s="97" t="s">
        <v>2074</v>
      </c>
      <c r="G678" s="132" t="str">
        <f t="shared" si="80"/>
        <v>31/10/2008</v>
      </c>
      <c r="H678" s="245">
        <v>31</v>
      </c>
      <c r="I678" s="245">
        <v>10</v>
      </c>
      <c r="J678" s="245">
        <v>2008</v>
      </c>
      <c r="K678" s="245" t="s">
        <v>420</v>
      </c>
      <c r="L678" s="97"/>
      <c r="M678" s="245" t="s">
        <v>796</v>
      </c>
      <c r="N678" s="358">
        <v>7006.88</v>
      </c>
      <c r="O678" s="358"/>
      <c r="Q678" s="245">
        <v>10</v>
      </c>
      <c r="R678" s="30">
        <f t="shared" si="81"/>
        <v>58.382333333333328</v>
      </c>
      <c r="S678" s="5">
        <v>5020.880666666666</v>
      </c>
      <c r="T678" s="313">
        <f t="shared" si="82"/>
        <v>5079.2629999999999</v>
      </c>
      <c r="U678" s="15">
        <f t="shared" si="83"/>
        <v>58.382333333333918</v>
      </c>
      <c r="V678" s="313">
        <f t="shared" si="84"/>
        <v>1927.6170000000002</v>
      </c>
      <c r="W678" s="245">
        <v>11658</v>
      </c>
      <c r="X678" s="312"/>
      <c r="Y678" s="313"/>
      <c r="Z678" s="114">
        <f t="shared" si="85"/>
        <v>87</v>
      </c>
    </row>
    <row r="679" spans="1:27" s="245" customFormat="1" x14ac:dyDescent="0.25">
      <c r="A679" s="245" t="s">
        <v>2163</v>
      </c>
      <c r="B679" s="245" t="s">
        <v>2158</v>
      </c>
      <c r="D679" s="245" t="s">
        <v>2745</v>
      </c>
      <c r="E679" s="97"/>
      <c r="F679" s="97" t="s">
        <v>2074</v>
      </c>
      <c r="G679" s="132" t="str">
        <f t="shared" si="80"/>
        <v>31/10/2008</v>
      </c>
      <c r="H679" s="245">
        <v>31</v>
      </c>
      <c r="I679" s="245">
        <v>10</v>
      </c>
      <c r="J679" s="245">
        <v>2008</v>
      </c>
      <c r="K679" s="245" t="s">
        <v>420</v>
      </c>
      <c r="L679" s="97"/>
      <c r="M679" s="245" t="s">
        <v>796</v>
      </c>
      <c r="N679" s="358">
        <v>7006.88</v>
      </c>
      <c r="O679" s="358"/>
      <c r="Q679" s="245">
        <v>10</v>
      </c>
      <c r="R679" s="30">
        <f t="shared" si="81"/>
        <v>58.382333333333328</v>
      </c>
      <c r="S679" s="5">
        <v>5020.880666666666</v>
      </c>
      <c r="T679" s="313">
        <f t="shared" si="82"/>
        <v>5079.2629999999999</v>
      </c>
      <c r="U679" s="15">
        <f t="shared" si="83"/>
        <v>58.382333333333918</v>
      </c>
      <c r="V679" s="313">
        <f t="shared" si="84"/>
        <v>1927.6170000000002</v>
      </c>
      <c r="W679" s="245">
        <v>11658</v>
      </c>
      <c r="X679" s="312"/>
      <c r="Y679" s="313"/>
      <c r="Z679" s="114">
        <f t="shared" si="85"/>
        <v>87</v>
      </c>
    </row>
    <row r="680" spans="1:27" s="245" customFormat="1" x14ac:dyDescent="0.25">
      <c r="A680" s="245" t="s">
        <v>2164</v>
      </c>
      <c r="B680" s="245" t="s">
        <v>2158</v>
      </c>
      <c r="D680" s="245" t="s">
        <v>2745</v>
      </c>
      <c r="E680" s="97"/>
      <c r="F680" s="97" t="s">
        <v>2074</v>
      </c>
      <c r="G680" s="132" t="str">
        <f t="shared" si="80"/>
        <v>31/10/2008</v>
      </c>
      <c r="H680" s="245">
        <v>31</v>
      </c>
      <c r="I680" s="245">
        <v>10</v>
      </c>
      <c r="J680" s="245">
        <v>2008</v>
      </c>
      <c r="K680" s="245" t="s">
        <v>420</v>
      </c>
      <c r="L680" s="97"/>
      <c r="M680" s="245" t="s">
        <v>796</v>
      </c>
      <c r="N680" s="358">
        <v>7006.88</v>
      </c>
      <c r="O680" s="358"/>
      <c r="Q680" s="245">
        <v>10</v>
      </c>
      <c r="R680" s="30">
        <f t="shared" si="81"/>
        <v>58.382333333333328</v>
      </c>
      <c r="S680" s="5">
        <v>5020.880666666666</v>
      </c>
      <c r="T680" s="313">
        <f t="shared" si="82"/>
        <v>5079.2629999999999</v>
      </c>
      <c r="U680" s="15">
        <f t="shared" si="83"/>
        <v>58.382333333333918</v>
      </c>
      <c r="V680" s="313">
        <f t="shared" si="84"/>
        <v>1927.6170000000002</v>
      </c>
      <c r="W680" s="245">
        <v>11658</v>
      </c>
      <c r="X680" s="312"/>
      <c r="Y680" s="313"/>
      <c r="Z680" s="114">
        <f t="shared" si="85"/>
        <v>87</v>
      </c>
    </row>
    <row r="681" spans="1:27" s="245" customFormat="1" x14ac:dyDescent="0.25">
      <c r="A681" s="245" t="s">
        <v>2165</v>
      </c>
      <c r="B681" s="245" t="s">
        <v>2158</v>
      </c>
      <c r="D681" s="245" t="s">
        <v>2745</v>
      </c>
      <c r="E681" s="97"/>
      <c r="F681" s="97" t="s">
        <v>2074</v>
      </c>
      <c r="G681" s="132" t="str">
        <f t="shared" si="80"/>
        <v>31/10/2008</v>
      </c>
      <c r="H681" s="245">
        <v>31</v>
      </c>
      <c r="I681" s="245">
        <v>10</v>
      </c>
      <c r="J681" s="245">
        <v>2008</v>
      </c>
      <c r="K681" s="245" t="s">
        <v>420</v>
      </c>
      <c r="L681" s="97"/>
      <c r="M681" s="245" t="s">
        <v>796</v>
      </c>
      <c r="N681" s="358">
        <v>7006.88</v>
      </c>
      <c r="O681" s="358"/>
      <c r="Q681" s="245">
        <v>10</v>
      </c>
      <c r="R681" s="30">
        <f t="shared" si="81"/>
        <v>58.382333333333328</v>
      </c>
      <c r="S681" s="5">
        <v>5020.880666666666</v>
      </c>
      <c r="T681" s="313">
        <f t="shared" si="82"/>
        <v>5079.2629999999999</v>
      </c>
      <c r="U681" s="15">
        <f t="shared" si="83"/>
        <v>58.382333333333918</v>
      </c>
      <c r="V681" s="313">
        <f t="shared" si="84"/>
        <v>1927.6170000000002</v>
      </c>
      <c r="W681" s="245">
        <v>11658</v>
      </c>
      <c r="X681" s="312"/>
      <c r="Y681" s="313"/>
      <c r="Z681" s="114">
        <f t="shared" si="85"/>
        <v>87</v>
      </c>
    </row>
    <row r="682" spans="1:27" s="245" customFormat="1" x14ac:dyDescent="0.25">
      <c r="A682" s="245" t="s">
        <v>2166</v>
      </c>
      <c r="B682" s="245" t="s">
        <v>2158</v>
      </c>
      <c r="D682" s="245" t="s">
        <v>2745</v>
      </c>
      <c r="E682" s="97"/>
      <c r="F682" s="97" t="s">
        <v>2074</v>
      </c>
      <c r="G682" s="132" t="str">
        <f t="shared" si="80"/>
        <v>31/10/2008</v>
      </c>
      <c r="H682" s="245">
        <v>31</v>
      </c>
      <c r="I682" s="245">
        <v>10</v>
      </c>
      <c r="J682" s="245">
        <v>2008</v>
      </c>
      <c r="K682" s="245" t="s">
        <v>420</v>
      </c>
      <c r="L682" s="97"/>
      <c r="M682" s="245" t="s">
        <v>796</v>
      </c>
      <c r="N682" s="358">
        <v>7006.88</v>
      </c>
      <c r="O682" s="358"/>
      <c r="Q682" s="245">
        <v>10</v>
      </c>
      <c r="R682" s="30">
        <f t="shared" si="81"/>
        <v>58.382333333333328</v>
      </c>
      <c r="S682" s="5">
        <v>5020.880666666666</v>
      </c>
      <c r="T682" s="313">
        <f t="shared" si="82"/>
        <v>5079.2629999999999</v>
      </c>
      <c r="U682" s="15">
        <f>T682-S682</f>
        <v>58.382333333333918</v>
      </c>
      <c r="V682" s="313">
        <f t="shared" si="84"/>
        <v>1927.6170000000002</v>
      </c>
      <c r="W682" s="245">
        <v>11658</v>
      </c>
      <c r="X682" s="312"/>
      <c r="Y682" s="313"/>
      <c r="Z682" s="114">
        <f t="shared" si="85"/>
        <v>87</v>
      </c>
    </row>
    <row r="683" spans="1:27" s="245" customFormat="1" x14ac:dyDescent="0.25">
      <c r="A683" s="245" t="s">
        <v>2167</v>
      </c>
      <c r="B683" s="245" t="s">
        <v>2158</v>
      </c>
      <c r="D683" s="245" t="s">
        <v>2745</v>
      </c>
      <c r="E683" s="97"/>
      <c r="F683" s="97" t="s">
        <v>2074</v>
      </c>
      <c r="G683" s="132" t="str">
        <f t="shared" si="80"/>
        <v>31/10/2008</v>
      </c>
      <c r="H683" s="245">
        <v>31</v>
      </c>
      <c r="I683" s="245">
        <v>10</v>
      </c>
      <c r="J683" s="245">
        <v>2008</v>
      </c>
      <c r="K683" s="245" t="s">
        <v>420</v>
      </c>
      <c r="L683" s="97"/>
      <c r="M683" s="245" t="s">
        <v>796</v>
      </c>
      <c r="N683" s="358">
        <v>7006.88</v>
      </c>
      <c r="O683" s="358"/>
      <c r="Q683" s="245">
        <v>10</v>
      </c>
      <c r="R683" s="30">
        <f t="shared" si="81"/>
        <v>58.382333333333328</v>
      </c>
      <c r="S683" s="5">
        <v>5020.880666666666</v>
      </c>
      <c r="T683" s="313">
        <f t="shared" si="82"/>
        <v>5079.2629999999999</v>
      </c>
      <c r="U683" s="15">
        <f t="shared" si="83"/>
        <v>58.382333333333918</v>
      </c>
      <c r="V683" s="313">
        <f t="shared" si="84"/>
        <v>1927.6170000000002</v>
      </c>
      <c r="W683" s="245">
        <v>11658</v>
      </c>
      <c r="X683" s="312">
        <f>R683*46</f>
        <v>2685.5873333333329</v>
      </c>
      <c r="Y683" s="313"/>
      <c r="Z683" s="114">
        <f t="shared" si="85"/>
        <v>87</v>
      </c>
      <c r="AA683" s="245">
        <v>46</v>
      </c>
    </row>
    <row r="684" spans="1:27" s="245" customFormat="1" x14ac:dyDescent="0.25">
      <c r="A684" s="22" t="s">
        <v>428</v>
      </c>
      <c r="B684" s="97"/>
      <c r="C684" s="97"/>
      <c r="D684" s="97"/>
      <c r="E684" s="97"/>
      <c r="F684" s="97"/>
      <c r="G684" s="132"/>
      <c r="H684" s="133"/>
      <c r="I684" s="133"/>
      <c r="J684" s="134"/>
      <c r="K684" s="97"/>
      <c r="L684" s="134"/>
      <c r="M684" s="97"/>
      <c r="N684" s="26">
        <f>SUM(N415:N683)</f>
        <v>2005879.8036387158</v>
      </c>
      <c r="O684" s="26">
        <f>SUM(O335:O683)</f>
        <v>0</v>
      </c>
      <c r="P684" s="26">
        <f>SUM(P335:P683)</f>
        <v>0</v>
      </c>
      <c r="Q684" s="28"/>
      <c r="R684" s="26">
        <f>SUM(R415:R683)</f>
        <v>16713.42336365598</v>
      </c>
      <c r="S684" s="26">
        <v>1462782.9042554582</v>
      </c>
      <c r="T684" s="26">
        <f>SUM(T415:T683)</f>
        <v>1479496.3276191116</v>
      </c>
      <c r="U684" s="26">
        <f>SUM(U415:U683)</f>
        <v>16713.42336365594</v>
      </c>
      <c r="V684" s="26">
        <f>SUM(V415:V683)</f>
        <v>526383.47601960495</v>
      </c>
      <c r="X684" s="312"/>
      <c r="Y684" s="313"/>
      <c r="Z684" s="114"/>
      <c r="AA684" s="357">
        <f>+Z683+AA683</f>
        <v>133</v>
      </c>
    </row>
    <row r="685" spans="1:27" s="245" customFormat="1" x14ac:dyDescent="0.25">
      <c r="B685" s="97"/>
      <c r="C685" s="97"/>
      <c r="D685" s="97"/>
      <c r="E685" s="97"/>
      <c r="F685" s="97"/>
      <c r="G685" s="132"/>
      <c r="H685" s="133"/>
      <c r="I685" s="133"/>
      <c r="J685" s="134"/>
      <c r="K685" s="97"/>
      <c r="L685" s="134"/>
      <c r="M685" s="97"/>
      <c r="N685" s="311"/>
      <c r="O685" s="311"/>
      <c r="R685" s="30"/>
      <c r="S685" s="30"/>
      <c r="T685" s="313"/>
      <c r="U685" s="313"/>
      <c r="V685" s="313"/>
      <c r="X685" s="312"/>
      <c r="Y685" s="313"/>
      <c r="Z685" s="114"/>
    </row>
    <row r="686" spans="1:27" s="245" customFormat="1" x14ac:dyDescent="0.25">
      <c r="A686" s="22" t="s">
        <v>429</v>
      </c>
      <c r="B686" s="97"/>
      <c r="C686" s="97"/>
      <c r="D686" s="97"/>
      <c r="E686" s="97"/>
      <c r="F686" s="97"/>
      <c r="G686" s="132"/>
      <c r="H686" s="133"/>
      <c r="I686" s="133"/>
      <c r="J686" s="134"/>
      <c r="K686" s="97"/>
      <c r="L686" s="97"/>
      <c r="M686" s="97"/>
      <c r="N686" s="29">
        <f>+N684+N413</f>
        <v>4611384.2236387134</v>
      </c>
      <c r="O686" s="29">
        <f>+O684+O413</f>
        <v>0</v>
      </c>
      <c r="P686" s="29">
        <f>+P684+P413</f>
        <v>0</v>
      </c>
      <c r="Q686" s="28"/>
      <c r="R686" s="29">
        <f>+R684+R413</f>
        <v>21815.701696989316</v>
      </c>
      <c r="S686" s="29">
        <v>3989115.2950054551</v>
      </c>
      <c r="T686" s="29">
        <f>+T684+T413</f>
        <v>4010930.9967024429</v>
      </c>
      <c r="U686" s="29">
        <f>+U684+U413</f>
        <v>21815.701696989287</v>
      </c>
      <c r="V686" s="29">
        <f>+V684+V413</f>
        <v>600453.22693627165</v>
      </c>
      <c r="X686" s="312"/>
      <c r="Y686" s="313"/>
      <c r="Z686" s="114"/>
    </row>
    <row r="687" spans="1:27" s="245" customFormat="1" x14ac:dyDescent="0.25">
      <c r="E687" s="97"/>
      <c r="F687" s="97"/>
      <c r="G687" s="132"/>
      <c r="L687" s="97"/>
      <c r="N687" s="358"/>
      <c r="O687" s="358"/>
      <c r="R687" s="30"/>
      <c r="S687" s="30"/>
      <c r="T687" s="313"/>
      <c r="U687" s="313"/>
      <c r="V687" s="313"/>
      <c r="X687" s="312"/>
      <c r="Y687" s="313"/>
      <c r="Z687" s="114"/>
    </row>
    <row r="688" spans="1:27" s="245" customFormat="1" x14ac:dyDescent="0.25">
      <c r="E688" s="97"/>
      <c r="F688" s="97"/>
      <c r="G688" s="132"/>
      <c r="L688" s="97"/>
      <c r="N688" s="358"/>
      <c r="O688" s="358"/>
      <c r="R688" s="30"/>
      <c r="S688" s="30"/>
      <c r="T688" s="313"/>
      <c r="U688" s="313"/>
      <c r="V688" s="313"/>
      <c r="X688" s="312"/>
      <c r="Y688" s="313"/>
      <c r="Z688" s="114"/>
    </row>
    <row r="689" spans="1:27" s="103" customFormat="1" x14ac:dyDescent="0.25">
      <c r="A689" s="177"/>
      <c r="B689" s="177" t="s">
        <v>2168</v>
      </c>
      <c r="C689" s="177"/>
      <c r="D689" s="177"/>
      <c r="E689" s="172"/>
      <c r="F689" s="172"/>
      <c r="G689" s="173">
        <v>39868</v>
      </c>
      <c r="H689" s="177"/>
      <c r="I689" s="177"/>
      <c r="J689" s="177"/>
      <c r="K689" s="177"/>
      <c r="L689" s="172"/>
      <c r="M689" s="177" t="s">
        <v>796</v>
      </c>
      <c r="N689" s="176">
        <v>10475</v>
      </c>
      <c r="O689" s="102"/>
      <c r="Q689" s="177">
        <v>10</v>
      </c>
      <c r="R689" s="178">
        <f t="shared" ref="R689:R760" si="86">(((N689)-1)/10)/12</f>
        <v>87.283333333333346</v>
      </c>
      <c r="S689" s="5">
        <v>7157.2333333333345</v>
      </c>
      <c r="T689" s="179">
        <f t="shared" ref="T689:T703" si="87">Z689*R689</f>
        <v>7244.5166666666673</v>
      </c>
      <c r="U689" s="15">
        <f t="shared" ref="U689:U703" si="88">T689-S689</f>
        <v>87.283333333332848</v>
      </c>
      <c r="V689" s="179">
        <f t="shared" ref="V689:V760" si="89">N689-T689</f>
        <v>3230.4833333333327</v>
      </c>
      <c r="Y689" s="135"/>
      <c r="Z689" s="137">
        <f t="shared" ref="Z689:Z760" si="90">IF((DATEDIF(G689,Z$4,"m"))&gt;=120,120,(DATEDIF(G689,Z$4,"m")))</f>
        <v>83</v>
      </c>
    </row>
    <row r="690" spans="1:27" s="103" customFormat="1" x14ac:dyDescent="0.25">
      <c r="A690" s="177"/>
      <c r="B690" s="177" t="s">
        <v>2169</v>
      </c>
      <c r="C690" s="177"/>
      <c r="D690" s="177"/>
      <c r="E690" s="172"/>
      <c r="F690" s="172"/>
      <c r="G690" s="173">
        <v>39840</v>
      </c>
      <c r="H690" s="177"/>
      <c r="I690" s="177"/>
      <c r="J690" s="177"/>
      <c r="K690" s="177"/>
      <c r="L690" s="172"/>
      <c r="M690" s="177" t="s">
        <v>796</v>
      </c>
      <c r="N690" s="176">
        <v>11758.13</v>
      </c>
      <c r="O690" s="102"/>
      <c r="Q690" s="177">
        <v>10</v>
      </c>
      <c r="R690" s="178">
        <f t="shared" si="86"/>
        <v>97.976083333333335</v>
      </c>
      <c r="S690" s="5">
        <v>8132.014916666667</v>
      </c>
      <c r="T690" s="179">
        <f t="shared" si="87"/>
        <v>8229.991</v>
      </c>
      <c r="U690" s="15">
        <f t="shared" si="88"/>
        <v>97.976083333333008</v>
      </c>
      <c r="V690" s="179">
        <f t="shared" si="89"/>
        <v>3528.1389999999992</v>
      </c>
      <c r="Y690" s="135"/>
      <c r="Z690" s="137">
        <f t="shared" si="90"/>
        <v>84</v>
      </c>
    </row>
    <row r="691" spans="1:27" s="103" customFormat="1" x14ac:dyDescent="0.25">
      <c r="B691" s="103" t="s">
        <v>2170</v>
      </c>
      <c r="C691" s="103" t="s">
        <v>1336</v>
      </c>
      <c r="D691" s="103" t="s">
        <v>2742</v>
      </c>
      <c r="E691" s="97"/>
      <c r="F691" s="97" t="s">
        <v>563</v>
      </c>
      <c r="G691" s="132" t="str">
        <f t="shared" ref="G691:G736" si="91">CONCATENATE(H691,"/",I691,"/",J691,)</f>
        <v>27/5/2009</v>
      </c>
      <c r="H691" s="103">
        <v>27</v>
      </c>
      <c r="I691" s="103">
        <v>5</v>
      </c>
      <c r="J691" s="103">
        <v>2009</v>
      </c>
      <c r="K691" s="103" t="s">
        <v>538</v>
      </c>
      <c r="L691" s="97">
        <v>100015762</v>
      </c>
      <c r="M691" s="103" t="s">
        <v>796</v>
      </c>
      <c r="N691" s="102">
        <v>2295</v>
      </c>
      <c r="O691" s="102"/>
      <c r="Q691" s="103">
        <v>10</v>
      </c>
      <c r="R691" s="30">
        <f t="shared" si="86"/>
        <v>19.116666666666667</v>
      </c>
      <c r="S691" s="5">
        <v>1510.2166666666667</v>
      </c>
      <c r="T691" s="135">
        <f t="shared" si="87"/>
        <v>1529.3333333333335</v>
      </c>
      <c r="U691" s="15">
        <f t="shared" si="88"/>
        <v>19.116666666666788</v>
      </c>
      <c r="V691" s="135">
        <f t="shared" si="89"/>
        <v>765.66666666666652</v>
      </c>
      <c r="Y691" s="135"/>
      <c r="Z691" s="114">
        <f t="shared" si="90"/>
        <v>80</v>
      </c>
    </row>
    <row r="692" spans="1:27" s="103" customFormat="1" x14ac:dyDescent="0.25">
      <c r="B692" s="103" t="s">
        <v>2170</v>
      </c>
      <c r="C692" s="103" t="s">
        <v>1336</v>
      </c>
      <c r="D692" s="103" t="s">
        <v>2742</v>
      </c>
      <c r="E692" s="97"/>
      <c r="F692" s="97" t="s">
        <v>563</v>
      </c>
      <c r="G692" s="132" t="str">
        <f t="shared" si="91"/>
        <v>27/5/2009</v>
      </c>
      <c r="H692" s="103">
        <v>27</v>
      </c>
      <c r="I692" s="103">
        <v>5</v>
      </c>
      <c r="J692" s="103">
        <v>2009</v>
      </c>
      <c r="K692" s="103" t="s">
        <v>538</v>
      </c>
      <c r="L692" s="97">
        <v>100015761</v>
      </c>
      <c r="M692" s="103" t="s">
        <v>796</v>
      </c>
      <c r="N692" s="102">
        <v>2295</v>
      </c>
      <c r="O692" s="102"/>
      <c r="Q692" s="103">
        <v>10</v>
      </c>
      <c r="R692" s="30">
        <f t="shared" si="86"/>
        <v>19.116666666666667</v>
      </c>
      <c r="S692" s="5">
        <v>1510.2166666666667</v>
      </c>
      <c r="T692" s="135">
        <f t="shared" si="87"/>
        <v>1529.3333333333335</v>
      </c>
      <c r="U692" s="15">
        <f t="shared" si="88"/>
        <v>19.116666666666788</v>
      </c>
      <c r="V692" s="135">
        <f t="shared" si="89"/>
        <v>765.66666666666652</v>
      </c>
      <c r="Y692" s="135"/>
      <c r="Z692" s="114">
        <f t="shared" si="90"/>
        <v>80</v>
      </c>
    </row>
    <row r="693" spans="1:27" s="245" customFormat="1" x14ac:dyDescent="0.25">
      <c r="B693" s="208" t="s">
        <v>2171</v>
      </c>
      <c r="E693" s="97"/>
      <c r="F693" s="97" t="s">
        <v>865</v>
      </c>
      <c r="G693" s="132" t="str">
        <f t="shared" si="91"/>
        <v>10/11/2009</v>
      </c>
      <c r="H693" s="245">
        <v>10</v>
      </c>
      <c r="I693" s="245">
        <v>11</v>
      </c>
      <c r="J693" s="245">
        <v>2009</v>
      </c>
      <c r="K693" s="245" t="s">
        <v>538</v>
      </c>
      <c r="L693" s="97">
        <v>72257</v>
      </c>
      <c r="M693" s="245" t="s">
        <v>796</v>
      </c>
      <c r="N693" s="311">
        <v>5808.35</v>
      </c>
      <c r="O693" s="311"/>
      <c r="P693" s="359"/>
      <c r="Q693" s="245">
        <v>10</v>
      </c>
      <c r="R693" s="30">
        <f t="shared" si="86"/>
        <v>48.394583333333337</v>
      </c>
      <c r="S693" s="5">
        <v>3532.8045833333335</v>
      </c>
      <c r="T693" s="313">
        <f t="shared" si="87"/>
        <v>3581.1991666666668</v>
      </c>
      <c r="U693" s="15">
        <f t="shared" si="88"/>
        <v>48.39458333333323</v>
      </c>
      <c r="V693" s="313">
        <f t="shared" si="89"/>
        <v>2227.1508333333336</v>
      </c>
      <c r="Y693" s="313"/>
      <c r="Z693" s="114">
        <f t="shared" si="90"/>
        <v>74</v>
      </c>
    </row>
    <row r="694" spans="1:27" s="245" customFormat="1" x14ac:dyDescent="0.25">
      <c r="B694" s="208" t="s">
        <v>2171</v>
      </c>
      <c r="E694" s="97"/>
      <c r="F694" s="97" t="s">
        <v>865</v>
      </c>
      <c r="G694" s="132" t="str">
        <f t="shared" si="91"/>
        <v>10/11/2009</v>
      </c>
      <c r="H694" s="245">
        <v>10</v>
      </c>
      <c r="I694" s="245">
        <v>11</v>
      </c>
      <c r="J694" s="245">
        <v>2009</v>
      </c>
      <c r="K694" s="245" t="s">
        <v>538</v>
      </c>
      <c r="L694" s="97">
        <v>72257</v>
      </c>
      <c r="M694" s="245" t="s">
        <v>796</v>
      </c>
      <c r="N694" s="311">
        <v>5808.35</v>
      </c>
      <c r="O694" s="311"/>
      <c r="Q694" s="245">
        <v>10</v>
      </c>
      <c r="R694" s="30">
        <f t="shared" si="86"/>
        <v>48.394583333333337</v>
      </c>
      <c r="S694" s="5">
        <v>3532.8045833333335</v>
      </c>
      <c r="T694" s="313">
        <f t="shared" si="87"/>
        <v>3581.1991666666668</v>
      </c>
      <c r="U694" s="15">
        <f t="shared" si="88"/>
        <v>48.39458333333323</v>
      </c>
      <c r="V694" s="313">
        <f t="shared" si="89"/>
        <v>2227.1508333333336</v>
      </c>
      <c r="Y694" s="313"/>
      <c r="Z694" s="114">
        <f t="shared" si="90"/>
        <v>74</v>
      </c>
    </row>
    <row r="695" spans="1:27" s="245" customFormat="1" x14ac:dyDescent="0.25">
      <c r="B695" s="208" t="s">
        <v>2171</v>
      </c>
      <c r="E695" s="97"/>
      <c r="F695" s="97" t="s">
        <v>865</v>
      </c>
      <c r="G695" s="132" t="str">
        <f t="shared" si="91"/>
        <v>10/11/2009</v>
      </c>
      <c r="H695" s="245">
        <v>10</v>
      </c>
      <c r="I695" s="245">
        <v>11</v>
      </c>
      <c r="J695" s="245">
        <v>2009</v>
      </c>
      <c r="K695" s="245" t="s">
        <v>538</v>
      </c>
      <c r="L695" s="97">
        <v>72257</v>
      </c>
      <c r="M695" s="245" t="s">
        <v>796</v>
      </c>
      <c r="N695" s="311">
        <v>5808.35</v>
      </c>
      <c r="O695" s="311"/>
      <c r="Q695" s="245">
        <v>10</v>
      </c>
      <c r="R695" s="30">
        <f t="shared" si="86"/>
        <v>48.394583333333337</v>
      </c>
      <c r="S695" s="5">
        <v>3532.8045833333335</v>
      </c>
      <c r="T695" s="313">
        <f t="shared" si="87"/>
        <v>3581.1991666666668</v>
      </c>
      <c r="U695" s="15">
        <f t="shared" si="88"/>
        <v>48.39458333333323</v>
      </c>
      <c r="V695" s="313">
        <f t="shared" si="89"/>
        <v>2227.1508333333336</v>
      </c>
      <c r="Y695" s="313"/>
      <c r="Z695" s="114">
        <f t="shared" si="90"/>
        <v>74</v>
      </c>
    </row>
    <row r="696" spans="1:27" s="245" customFormat="1" x14ac:dyDescent="0.25">
      <c r="B696" s="208" t="s">
        <v>2171</v>
      </c>
      <c r="E696" s="97"/>
      <c r="F696" s="97" t="s">
        <v>865</v>
      </c>
      <c r="G696" s="132" t="str">
        <f t="shared" si="91"/>
        <v>10/11/2009</v>
      </c>
      <c r="H696" s="245">
        <v>10</v>
      </c>
      <c r="I696" s="245">
        <v>11</v>
      </c>
      <c r="J696" s="245">
        <v>2009</v>
      </c>
      <c r="K696" s="245" t="s">
        <v>538</v>
      </c>
      <c r="L696" s="97">
        <v>72257</v>
      </c>
      <c r="M696" s="245" t="s">
        <v>796</v>
      </c>
      <c r="N696" s="311">
        <v>5808.35</v>
      </c>
      <c r="O696" s="311"/>
      <c r="Q696" s="245">
        <v>10</v>
      </c>
      <c r="R696" s="30">
        <f t="shared" si="86"/>
        <v>48.394583333333337</v>
      </c>
      <c r="S696" s="5">
        <v>3532.8045833333335</v>
      </c>
      <c r="T696" s="313">
        <f t="shared" si="87"/>
        <v>3581.1991666666668</v>
      </c>
      <c r="U696" s="15">
        <f t="shared" si="88"/>
        <v>48.39458333333323</v>
      </c>
      <c r="V696" s="313">
        <f t="shared" si="89"/>
        <v>2227.1508333333336</v>
      </c>
      <c r="Y696" s="313"/>
      <c r="Z696" s="114">
        <f t="shared" si="90"/>
        <v>74</v>
      </c>
    </row>
    <row r="697" spans="1:27" s="245" customFormat="1" x14ac:dyDescent="0.25">
      <c r="B697" s="208" t="s">
        <v>2171</v>
      </c>
      <c r="E697" s="97"/>
      <c r="F697" s="97" t="s">
        <v>865</v>
      </c>
      <c r="G697" s="132" t="str">
        <f t="shared" si="91"/>
        <v>10/11/2009</v>
      </c>
      <c r="H697" s="245">
        <v>10</v>
      </c>
      <c r="I697" s="245">
        <v>11</v>
      </c>
      <c r="J697" s="245">
        <v>2009</v>
      </c>
      <c r="K697" s="245" t="s">
        <v>538</v>
      </c>
      <c r="L697" s="97">
        <v>72257</v>
      </c>
      <c r="M697" s="245" t="s">
        <v>796</v>
      </c>
      <c r="N697" s="311">
        <v>5808.35</v>
      </c>
      <c r="O697" s="311"/>
      <c r="Q697" s="245">
        <v>10</v>
      </c>
      <c r="R697" s="30">
        <f t="shared" si="86"/>
        <v>48.394583333333337</v>
      </c>
      <c r="S697" s="5">
        <v>3532.8045833333335</v>
      </c>
      <c r="T697" s="313">
        <f t="shared" si="87"/>
        <v>3581.1991666666668</v>
      </c>
      <c r="U697" s="15">
        <f t="shared" si="88"/>
        <v>48.39458333333323</v>
      </c>
      <c r="V697" s="313">
        <f t="shared" si="89"/>
        <v>2227.1508333333336</v>
      </c>
      <c r="Y697" s="313"/>
      <c r="Z697" s="114">
        <f t="shared" si="90"/>
        <v>74</v>
      </c>
    </row>
    <row r="698" spans="1:27" s="245" customFormat="1" x14ac:dyDescent="0.25">
      <c r="B698" s="208" t="s">
        <v>2171</v>
      </c>
      <c r="E698" s="97"/>
      <c r="F698" s="97" t="s">
        <v>865</v>
      </c>
      <c r="G698" s="132" t="str">
        <f t="shared" si="91"/>
        <v>10/11/2009</v>
      </c>
      <c r="H698" s="245">
        <v>10</v>
      </c>
      <c r="I698" s="245">
        <v>11</v>
      </c>
      <c r="J698" s="245">
        <v>2009</v>
      </c>
      <c r="K698" s="245" t="s">
        <v>538</v>
      </c>
      <c r="L698" s="97">
        <v>72257</v>
      </c>
      <c r="M698" s="245" t="s">
        <v>796</v>
      </c>
      <c r="N698" s="311">
        <v>5808.35</v>
      </c>
      <c r="O698" s="311"/>
      <c r="Q698" s="245">
        <v>10</v>
      </c>
      <c r="R698" s="30">
        <f t="shared" si="86"/>
        <v>48.394583333333337</v>
      </c>
      <c r="S698" s="5">
        <v>3532.8045833333335</v>
      </c>
      <c r="T698" s="313">
        <f t="shared" si="87"/>
        <v>3581.1991666666668</v>
      </c>
      <c r="U698" s="15">
        <f t="shared" si="88"/>
        <v>48.39458333333323</v>
      </c>
      <c r="V698" s="313">
        <f t="shared" si="89"/>
        <v>2227.1508333333336</v>
      </c>
      <c r="Y698" s="313"/>
      <c r="Z698" s="114">
        <f t="shared" si="90"/>
        <v>74</v>
      </c>
    </row>
    <row r="699" spans="1:27" s="245" customFormat="1" x14ac:dyDescent="0.25">
      <c r="B699" s="208" t="s">
        <v>2171</v>
      </c>
      <c r="E699" s="97"/>
      <c r="F699" s="97" t="s">
        <v>865</v>
      </c>
      <c r="G699" s="132" t="str">
        <f t="shared" si="91"/>
        <v>10/11/2009</v>
      </c>
      <c r="H699" s="245">
        <v>10</v>
      </c>
      <c r="I699" s="245">
        <v>11</v>
      </c>
      <c r="J699" s="245">
        <v>2009</v>
      </c>
      <c r="K699" s="245" t="s">
        <v>538</v>
      </c>
      <c r="L699" s="97">
        <v>72257</v>
      </c>
      <c r="M699" s="245" t="s">
        <v>796</v>
      </c>
      <c r="N699" s="311">
        <v>5808.35</v>
      </c>
      <c r="O699" s="311"/>
      <c r="Q699" s="245">
        <v>10</v>
      </c>
      <c r="R699" s="30">
        <f t="shared" si="86"/>
        <v>48.394583333333337</v>
      </c>
      <c r="S699" s="5">
        <v>3532.8045833333335</v>
      </c>
      <c r="T699" s="313">
        <f t="shared" si="87"/>
        <v>3581.1991666666668</v>
      </c>
      <c r="U699" s="15">
        <f t="shared" si="88"/>
        <v>48.39458333333323</v>
      </c>
      <c r="V699" s="313">
        <f t="shared" si="89"/>
        <v>2227.1508333333336</v>
      </c>
      <c r="Y699" s="313"/>
      <c r="Z699" s="114">
        <f t="shared" si="90"/>
        <v>74</v>
      </c>
    </row>
    <row r="700" spans="1:27" s="245" customFormat="1" x14ac:dyDescent="0.25">
      <c r="B700" s="208" t="s">
        <v>2171</v>
      </c>
      <c r="E700" s="97"/>
      <c r="F700" s="97" t="s">
        <v>865</v>
      </c>
      <c r="G700" s="132" t="str">
        <f t="shared" si="91"/>
        <v>10/11/2009</v>
      </c>
      <c r="H700" s="245">
        <v>10</v>
      </c>
      <c r="I700" s="245">
        <v>11</v>
      </c>
      <c r="J700" s="245">
        <v>2009</v>
      </c>
      <c r="K700" s="245" t="s">
        <v>538</v>
      </c>
      <c r="L700" s="97">
        <v>72257</v>
      </c>
      <c r="M700" s="245" t="s">
        <v>796</v>
      </c>
      <c r="N700" s="311">
        <v>5808.35</v>
      </c>
      <c r="O700" s="311"/>
      <c r="Q700" s="245">
        <v>10</v>
      </c>
      <c r="R700" s="30">
        <f t="shared" si="86"/>
        <v>48.394583333333337</v>
      </c>
      <c r="S700" s="5">
        <v>3532.8045833333335</v>
      </c>
      <c r="T700" s="313">
        <f t="shared" si="87"/>
        <v>3581.1991666666668</v>
      </c>
      <c r="U700" s="15">
        <f t="shared" si="88"/>
        <v>48.39458333333323</v>
      </c>
      <c r="V700" s="313">
        <f t="shared" si="89"/>
        <v>2227.1508333333336</v>
      </c>
      <c r="Y700" s="313"/>
      <c r="Z700" s="114">
        <f t="shared" si="90"/>
        <v>74</v>
      </c>
    </row>
    <row r="701" spans="1:27" s="245" customFormat="1" x14ac:dyDescent="0.25">
      <c r="B701" s="208" t="s">
        <v>2171</v>
      </c>
      <c r="E701" s="97"/>
      <c r="F701" s="97" t="s">
        <v>865</v>
      </c>
      <c r="G701" s="132" t="str">
        <f t="shared" si="91"/>
        <v>10/11/2009</v>
      </c>
      <c r="H701" s="245">
        <v>10</v>
      </c>
      <c r="I701" s="245">
        <v>11</v>
      </c>
      <c r="J701" s="245">
        <v>2009</v>
      </c>
      <c r="K701" s="245" t="s">
        <v>538</v>
      </c>
      <c r="L701" s="97">
        <v>72257</v>
      </c>
      <c r="M701" s="245" t="s">
        <v>796</v>
      </c>
      <c r="N701" s="311">
        <v>5808.35</v>
      </c>
      <c r="O701" s="311"/>
      <c r="Q701" s="245">
        <v>10</v>
      </c>
      <c r="R701" s="30">
        <f t="shared" si="86"/>
        <v>48.394583333333337</v>
      </c>
      <c r="S701" s="5">
        <v>3532.8045833333335</v>
      </c>
      <c r="T701" s="313">
        <f t="shared" si="87"/>
        <v>3581.1991666666668</v>
      </c>
      <c r="U701" s="15">
        <f t="shared" si="88"/>
        <v>48.39458333333323</v>
      </c>
      <c r="V701" s="313">
        <f t="shared" si="89"/>
        <v>2227.1508333333336</v>
      </c>
      <c r="Y701" s="313"/>
      <c r="Z701" s="114">
        <f t="shared" si="90"/>
        <v>74</v>
      </c>
    </row>
    <row r="702" spans="1:27" s="245" customFormat="1" x14ac:dyDescent="0.25">
      <c r="B702" s="208" t="s">
        <v>2171</v>
      </c>
      <c r="E702" s="97"/>
      <c r="F702" s="97" t="s">
        <v>865</v>
      </c>
      <c r="G702" s="132" t="str">
        <f t="shared" si="91"/>
        <v>10/11/2009</v>
      </c>
      <c r="H702" s="245">
        <v>10</v>
      </c>
      <c r="I702" s="245">
        <v>11</v>
      </c>
      <c r="J702" s="245">
        <v>2009</v>
      </c>
      <c r="K702" s="245" t="s">
        <v>538</v>
      </c>
      <c r="L702" s="97">
        <v>72257</v>
      </c>
      <c r="M702" s="245" t="s">
        <v>796</v>
      </c>
      <c r="N702" s="311">
        <v>5808.35</v>
      </c>
      <c r="O702" s="311"/>
      <c r="Q702" s="245">
        <v>10</v>
      </c>
      <c r="R702" s="30">
        <f t="shared" si="86"/>
        <v>48.394583333333337</v>
      </c>
      <c r="S702" s="5">
        <v>3532.8045833333335</v>
      </c>
      <c r="T702" s="313">
        <f t="shared" si="87"/>
        <v>3581.1991666666668</v>
      </c>
      <c r="U702" s="15">
        <f t="shared" si="88"/>
        <v>48.39458333333323</v>
      </c>
      <c r="V702" s="313">
        <f t="shared" si="89"/>
        <v>2227.1508333333336</v>
      </c>
      <c r="Y702" s="313"/>
      <c r="Z702" s="114">
        <f t="shared" si="90"/>
        <v>74</v>
      </c>
    </row>
    <row r="703" spans="1:27" s="245" customFormat="1" x14ac:dyDescent="0.25">
      <c r="B703" s="208" t="s">
        <v>2171</v>
      </c>
      <c r="E703" s="97"/>
      <c r="F703" s="97" t="s">
        <v>865</v>
      </c>
      <c r="G703" s="132" t="str">
        <f t="shared" si="91"/>
        <v>10/11/2009</v>
      </c>
      <c r="H703" s="245">
        <v>10</v>
      </c>
      <c r="I703" s="245">
        <v>11</v>
      </c>
      <c r="J703" s="245">
        <v>2009</v>
      </c>
      <c r="K703" s="245" t="s">
        <v>538</v>
      </c>
      <c r="L703" s="97">
        <v>72257</v>
      </c>
      <c r="M703" s="245" t="s">
        <v>796</v>
      </c>
      <c r="N703" s="311">
        <v>5808.37</v>
      </c>
      <c r="O703" s="311"/>
      <c r="P703" s="358"/>
      <c r="Q703" s="245">
        <v>10</v>
      </c>
      <c r="R703" s="30">
        <f t="shared" si="86"/>
        <v>48.394749999999995</v>
      </c>
      <c r="S703" s="5">
        <v>3532.8167499999995</v>
      </c>
      <c r="T703" s="313">
        <f t="shared" si="87"/>
        <v>3581.2114999999994</v>
      </c>
      <c r="U703" s="15">
        <f t="shared" si="88"/>
        <v>48.394749999999931</v>
      </c>
      <c r="V703" s="313">
        <f t="shared" si="89"/>
        <v>2227.1585000000005</v>
      </c>
      <c r="Y703" s="313"/>
      <c r="Z703" s="114">
        <f t="shared" si="90"/>
        <v>74</v>
      </c>
    </row>
    <row r="704" spans="1:27" s="245" customFormat="1" x14ac:dyDescent="0.25">
      <c r="A704" s="22" t="s">
        <v>531</v>
      </c>
      <c r="B704" s="97"/>
      <c r="C704" s="97"/>
      <c r="D704" s="97"/>
      <c r="E704" s="97"/>
      <c r="F704" s="97"/>
      <c r="G704" s="132"/>
      <c r="H704" s="133"/>
      <c r="I704" s="133"/>
      <c r="J704" s="134"/>
      <c r="K704" s="97"/>
      <c r="L704" s="134"/>
      <c r="M704" s="97"/>
      <c r="N704" s="26">
        <f>SUM(N689:N703)</f>
        <v>90715</v>
      </c>
      <c r="O704" s="26">
        <f t="shared" ref="O704:V704" si="92">SUM(O689:O703)</f>
        <v>0</v>
      </c>
      <c r="P704" s="26">
        <f t="shared" si="92"/>
        <v>0</v>
      </c>
      <c r="Q704" s="28"/>
      <c r="R704" s="26">
        <f t="shared" si="92"/>
        <v>755.83333333333348</v>
      </c>
      <c r="S704" s="26">
        <v>57170.544166666659</v>
      </c>
      <c r="T704" s="26">
        <f t="shared" si="92"/>
        <v>57926.377499999988</v>
      </c>
      <c r="U704" s="26">
        <f t="shared" si="92"/>
        <v>755.83333333333167</v>
      </c>
      <c r="V704" s="26">
        <f t="shared" si="92"/>
        <v>32788.622499999998</v>
      </c>
      <c r="X704" s="312"/>
      <c r="Y704" s="313"/>
      <c r="Z704" s="114"/>
      <c r="AA704" s="357">
        <f>+Z703+AA703</f>
        <v>74</v>
      </c>
    </row>
    <row r="705" spans="1:27" s="245" customFormat="1" x14ac:dyDescent="0.25">
      <c r="A705" s="22"/>
      <c r="B705" s="97"/>
      <c r="C705" s="97"/>
      <c r="D705" s="97"/>
      <c r="E705" s="97"/>
      <c r="F705" s="97"/>
      <c r="G705" s="132"/>
      <c r="H705" s="133"/>
      <c r="I705" s="133"/>
      <c r="J705" s="134"/>
      <c r="K705" s="97"/>
      <c r="L705" s="134"/>
      <c r="M705" s="97"/>
      <c r="N705" s="28"/>
      <c r="O705" s="28"/>
      <c r="P705" s="28"/>
      <c r="Q705" s="28"/>
      <c r="R705" s="28"/>
      <c r="S705" s="28"/>
      <c r="T705" s="28"/>
      <c r="U705" s="28"/>
      <c r="V705" s="28"/>
      <c r="X705" s="312"/>
      <c r="Y705" s="313"/>
      <c r="Z705" s="114"/>
      <c r="AA705" s="357"/>
    </row>
    <row r="706" spans="1:27" s="245" customFormat="1" x14ac:dyDescent="0.25">
      <c r="A706" s="22" t="s">
        <v>532</v>
      </c>
      <c r="B706" s="97"/>
      <c r="C706" s="97"/>
      <c r="D706" s="97"/>
      <c r="E706" s="97"/>
      <c r="F706" s="97"/>
      <c r="G706" s="132"/>
      <c r="H706" s="133"/>
      <c r="I706" s="133"/>
      <c r="J706" s="134"/>
      <c r="K706" s="97"/>
      <c r="L706" s="97"/>
      <c r="M706" s="97"/>
      <c r="N706" s="29">
        <f>+N704+N686</f>
        <v>4702099.2236387134</v>
      </c>
      <c r="O706" s="29">
        <f t="shared" ref="O706:V706" si="93">+O704+O686</f>
        <v>0</v>
      </c>
      <c r="P706" s="29">
        <f t="shared" si="93"/>
        <v>0</v>
      </c>
      <c r="Q706" s="28"/>
      <c r="R706" s="29">
        <f t="shared" si="93"/>
        <v>22571.535030322648</v>
      </c>
      <c r="S706" s="29">
        <v>4046285.8391721216</v>
      </c>
      <c r="T706" s="29">
        <f t="shared" si="93"/>
        <v>4068857.3742024428</v>
      </c>
      <c r="U706" s="29">
        <f t="shared" si="93"/>
        <v>22571.535030322619</v>
      </c>
      <c r="V706" s="29">
        <f t="shared" si="93"/>
        <v>633241.8494362717</v>
      </c>
      <c r="X706" s="312"/>
      <c r="Y706" s="313"/>
      <c r="Z706" s="114"/>
    </row>
    <row r="707" spans="1:27" s="245" customFormat="1" x14ac:dyDescent="0.25">
      <c r="B707" s="208"/>
      <c r="E707" s="97"/>
      <c r="F707" s="97"/>
      <c r="G707" s="132"/>
      <c r="L707" s="97"/>
      <c r="N707" s="311"/>
      <c r="O707" s="311"/>
      <c r="P707" s="358"/>
      <c r="R707" s="30"/>
      <c r="S707" s="30"/>
      <c r="T707" s="313"/>
      <c r="U707" s="313"/>
      <c r="V707" s="313"/>
      <c r="Y707" s="313"/>
      <c r="Z707" s="114"/>
    </row>
    <row r="708" spans="1:27" s="103" customFormat="1" x14ac:dyDescent="0.25">
      <c r="B708" s="103" t="s">
        <v>2172</v>
      </c>
      <c r="C708" s="103" t="s">
        <v>459</v>
      </c>
      <c r="E708" s="97" t="s">
        <v>2173</v>
      </c>
      <c r="F708" s="97" t="s">
        <v>2174</v>
      </c>
      <c r="G708" s="132" t="str">
        <f t="shared" si="91"/>
        <v>14/6/2010</v>
      </c>
      <c r="H708" s="103">
        <v>14</v>
      </c>
      <c r="I708" s="103">
        <v>6</v>
      </c>
      <c r="J708" s="103">
        <v>2010</v>
      </c>
      <c r="K708" s="103" t="s">
        <v>538</v>
      </c>
      <c r="L708" s="97" t="s">
        <v>2175</v>
      </c>
      <c r="M708" s="103" t="s">
        <v>796</v>
      </c>
      <c r="N708" s="226">
        <v>23950</v>
      </c>
      <c r="O708" s="226"/>
      <c r="Q708" s="103">
        <v>10</v>
      </c>
      <c r="R708" s="30">
        <f t="shared" si="86"/>
        <v>199.57500000000002</v>
      </c>
      <c r="S708" s="5">
        <v>13171.95</v>
      </c>
      <c r="T708" s="313">
        <f>Z708*R708</f>
        <v>13371.525000000001</v>
      </c>
      <c r="U708" s="15">
        <f>T708-S708</f>
        <v>199.57500000000073</v>
      </c>
      <c r="V708" s="135">
        <f t="shared" si="89"/>
        <v>10578.474999999999</v>
      </c>
      <c r="Y708" s="135"/>
      <c r="Z708" s="114">
        <f t="shared" si="90"/>
        <v>67</v>
      </c>
    </row>
    <row r="709" spans="1:27" s="103" customFormat="1" x14ac:dyDescent="0.25">
      <c r="B709" s="103" t="s">
        <v>2172</v>
      </c>
      <c r="C709" s="103" t="s">
        <v>459</v>
      </c>
      <c r="E709" s="97" t="s">
        <v>2173</v>
      </c>
      <c r="F709" s="97" t="s">
        <v>2174</v>
      </c>
      <c r="G709" s="132" t="str">
        <f t="shared" si="91"/>
        <v>14/6/2010</v>
      </c>
      <c r="H709" s="103">
        <v>14</v>
      </c>
      <c r="I709" s="103">
        <v>6</v>
      </c>
      <c r="J709" s="103">
        <v>2010</v>
      </c>
      <c r="K709" s="103" t="s">
        <v>538</v>
      </c>
      <c r="L709" s="97" t="s">
        <v>2175</v>
      </c>
      <c r="M709" s="103" t="s">
        <v>796</v>
      </c>
      <c r="N709" s="226">
        <v>23950</v>
      </c>
      <c r="O709" s="226"/>
      <c r="P709" s="221"/>
      <c r="Q709" s="103">
        <v>10</v>
      </c>
      <c r="R709" s="30">
        <f t="shared" si="86"/>
        <v>199.57500000000002</v>
      </c>
      <c r="S709" s="5">
        <v>13171.95</v>
      </c>
      <c r="T709" s="313">
        <f t="shared" ref="T709:T736" si="94">Z709*R709</f>
        <v>13371.525000000001</v>
      </c>
      <c r="U709" s="15">
        <f t="shared" ref="U709:U736" si="95">T709-S709</f>
        <v>199.57500000000073</v>
      </c>
      <c r="V709" s="135">
        <f t="shared" si="89"/>
        <v>10578.474999999999</v>
      </c>
      <c r="Y709" s="135"/>
      <c r="Z709" s="114">
        <f t="shared" si="90"/>
        <v>67</v>
      </c>
    </row>
    <row r="710" spans="1:27" s="103" customFormat="1" x14ac:dyDescent="0.25">
      <c r="B710" s="103" t="s">
        <v>2176</v>
      </c>
      <c r="C710" s="103" t="s">
        <v>2177</v>
      </c>
      <c r="E710" s="97" t="s">
        <v>2178</v>
      </c>
      <c r="F710" s="97" t="s">
        <v>563</v>
      </c>
      <c r="G710" s="132" t="str">
        <f t="shared" si="91"/>
        <v>14/6/2010</v>
      </c>
      <c r="H710" s="103">
        <v>14</v>
      </c>
      <c r="I710" s="103">
        <v>6</v>
      </c>
      <c r="J710" s="103">
        <v>2010</v>
      </c>
      <c r="K710" s="103" t="s">
        <v>538</v>
      </c>
      <c r="L710" s="134">
        <v>8020045061410</v>
      </c>
      <c r="M710" s="103" t="s">
        <v>796</v>
      </c>
      <c r="N710" s="226">
        <v>59995</v>
      </c>
      <c r="O710" s="226"/>
      <c r="Q710" s="103">
        <v>10</v>
      </c>
      <c r="R710" s="30">
        <f t="shared" si="86"/>
        <v>499.95</v>
      </c>
      <c r="S710" s="5">
        <v>32996.699999999997</v>
      </c>
      <c r="T710" s="313">
        <f t="shared" si="94"/>
        <v>33496.65</v>
      </c>
      <c r="U710" s="15">
        <f t="shared" si="95"/>
        <v>499.95000000000437</v>
      </c>
      <c r="V710" s="135">
        <f t="shared" si="89"/>
        <v>26498.35</v>
      </c>
      <c r="Y710" s="135"/>
      <c r="Z710" s="114">
        <f t="shared" si="90"/>
        <v>67</v>
      </c>
    </row>
    <row r="711" spans="1:27" s="103" customFormat="1" x14ac:dyDescent="0.25">
      <c r="B711" s="103" t="s">
        <v>2176</v>
      </c>
      <c r="C711" s="103" t="s">
        <v>2177</v>
      </c>
      <c r="E711" s="97" t="s">
        <v>2178</v>
      </c>
      <c r="F711" s="97" t="s">
        <v>563</v>
      </c>
      <c r="G711" s="132" t="str">
        <f t="shared" si="91"/>
        <v>14/6/2010</v>
      </c>
      <c r="H711" s="103">
        <v>14</v>
      </c>
      <c r="I711" s="103">
        <v>6</v>
      </c>
      <c r="J711" s="103">
        <v>2010</v>
      </c>
      <c r="K711" s="103" t="s">
        <v>538</v>
      </c>
      <c r="L711" s="134">
        <v>8020045061410</v>
      </c>
      <c r="M711" s="103" t="s">
        <v>796</v>
      </c>
      <c r="N711" s="226">
        <v>59995</v>
      </c>
      <c r="O711" s="226"/>
      <c r="P711" s="221"/>
      <c r="Q711" s="103">
        <v>10</v>
      </c>
      <c r="R711" s="30">
        <f t="shared" si="86"/>
        <v>499.95</v>
      </c>
      <c r="S711" s="5">
        <v>32996.699999999997</v>
      </c>
      <c r="T711" s="313">
        <f t="shared" si="94"/>
        <v>33496.65</v>
      </c>
      <c r="U711" s="15">
        <f t="shared" si="95"/>
        <v>499.95000000000437</v>
      </c>
      <c r="V711" s="135">
        <f t="shared" si="89"/>
        <v>26498.35</v>
      </c>
      <c r="Y711" s="135"/>
      <c r="Z711" s="114">
        <f t="shared" si="90"/>
        <v>67</v>
      </c>
    </row>
    <row r="712" spans="1:27" s="245" customFormat="1" x14ac:dyDescent="0.25">
      <c r="B712" s="245" t="s">
        <v>2179</v>
      </c>
      <c r="D712" s="245" t="s">
        <v>2741</v>
      </c>
      <c r="E712" s="97"/>
      <c r="F712" s="97" t="s">
        <v>2180</v>
      </c>
      <c r="G712" s="132" t="str">
        <f t="shared" si="91"/>
        <v>8/7/2010</v>
      </c>
      <c r="H712" s="245">
        <v>8</v>
      </c>
      <c r="I712" s="245">
        <v>7</v>
      </c>
      <c r="J712" s="245">
        <v>2010</v>
      </c>
      <c r="K712" s="245" t="s">
        <v>538</v>
      </c>
      <c r="L712" s="97">
        <v>9249</v>
      </c>
      <c r="M712" s="245" t="s">
        <v>796</v>
      </c>
      <c r="N712" s="226">
        <v>4631.22</v>
      </c>
      <c r="O712" s="226"/>
      <c r="P712" s="358"/>
      <c r="Q712" s="245">
        <v>10</v>
      </c>
      <c r="R712" s="30">
        <f t="shared" si="86"/>
        <v>38.585166666666673</v>
      </c>
      <c r="S712" s="5">
        <v>2508.0358333333338</v>
      </c>
      <c r="T712" s="313">
        <f t="shared" si="94"/>
        <v>2546.6210000000005</v>
      </c>
      <c r="U712" s="15">
        <f t="shared" si="95"/>
        <v>38.585166666666737</v>
      </c>
      <c r="V712" s="313">
        <f t="shared" si="89"/>
        <v>2084.5989999999997</v>
      </c>
      <c r="Y712" s="313"/>
      <c r="Z712" s="114">
        <f t="shared" si="90"/>
        <v>66</v>
      </c>
    </row>
    <row r="713" spans="1:27" s="245" customFormat="1" x14ac:dyDescent="0.25">
      <c r="B713" s="245" t="s">
        <v>2181</v>
      </c>
      <c r="D713" s="245" t="s">
        <v>2740</v>
      </c>
      <c r="E713" s="97"/>
      <c r="F713" s="97" t="s">
        <v>2180</v>
      </c>
      <c r="G713" s="132" t="str">
        <f t="shared" si="91"/>
        <v>8/7/2010</v>
      </c>
      <c r="H713" s="245">
        <v>8</v>
      </c>
      <c r="I713" s="245">
        <v>7</v>
      </c>
      <c r="J713" s="245">
        <v>2010</v>
      </c>
      <c r="K713" s="245" t="s">
        <v>538</v>
      </c>
      <c r="L713" s="97">
        <v>9249</v>
      </c>
      <c r="M713" s="245" t="s">
        <v>796</v>
      </c>
      <c r="N713" s="226">
        <v>2613.83</v>
      </c>
      <c r="O713" s="226"/>
      <c r="Q713" s="245">
        <v>10</v>
      </c>
      <c r="R713" s="30">
        <f t="shared" si="86"/>
        <v>21.773583333333335</v>
      </c>
      <c r="S713" s="5">
        <v>1415.2829166666668</v>
      </c>
      <c r="T713" s="313">
        <f t="shared" si="94"/>
        <v>1437.0565000000001</v>
      </c>
      <c r="U713" s="15">
        <f t="shared" si="95"/>
        <v>21.773583333333363</v>
      </c>
      <c r="V713" s="313">
        <f t="shared" si="89"/>
        <v>1176.7734999999998</v>
      </c>
      <c r="Y713" s="313"/>
      <c r="Z713" s="114">
        <f t="shared" si="90"/>
        <v>66</v>
      </c>
    </row>
    <row r="714" spans="1:27" s="245" customFormat="1" x14ac:dyDescent="0.25">
      <c r="B714" s="245" t="s">
        <v>2182</v>
      </c>
      <c r="E714" s="97"/>
      <c r="F714" s="97" t="s">
        <v>2180</v>
      </c>
      <c r="G714" s="132" t="str">
        <f t="shared" si="91"/>
        <v>13/7/2010</v>
      </c>
      <c r="H714" s="245">
        <v>13</v>
      </c>
      <c r="I714" s="245">
        <v>7</v>
      </c>
      <c r="J714" s="245">
        <v>2010</v>
      </c>
      <c r="K714" s="245" t="s">
        <v>538</v>
      </c>
      <c r="L714" s="97">
        <v>9274</v>
      </c>
      <c r="M714" s="245" t="s">
        <v>796</v>
      </c>
      <c r="N714" s="226">
        <v>7185.5</v>
      </c>
      <c r="O714" s="226"/>
      <c r="Q714" s="245">
        <v>10</v>
      </c>
      <c r="R714" s="30">
        <f t="shared" si="86"/>
        <v>59.870833333333337</v>
      </c>
      <c r="S714" s="5">
        <v>3891.604166666667</v>
      </c>
      <c r="T714" s="313">
        <f t="shared" si="94"/>
        <v>3951.4750000000004</v>
      </c>
      <c r="U714" s="15">
        <f t="shared" si="95"/>
        <v>59.870833333333394</v>
      </c>
      <c r="V714" s="313">
        <f t="shared" si="89"/>
        <v>3234.0249999999996</v>
      </c>
      <c r="Y714" s="313"/>
      <c r="Z714" s="114">
        <f t="shared" si="90"/>
        <v>66</v>
      </c>
    </row>
    <row r="715" spans="1:27" s="245" customFormat="1" x14ac:dyDescent="0.25">
      <c r="B715" s="97" t="s">
        <v>2183</v>
      </c>
      <c r="C715" s="97"/>
      <c r="D715" s="97" t="s">
        <v>2739</v>
      </c>
      <c r="E715" s="97"/>
      <c r="F715" s="97" t="s">
        <v>2180</v>
      </c>
      <c r="G715" s="132" t="str">
        <f t="shared" si="91"/>
        <v>14/7/2010</v>
      </c>
      <c r="H715" s="100">
        <v>14</v>
      </c>
      <c r="I715" s="100">
        <v>7</v>
      </c>
      <c r="J715" s="101">
        <v>2010</v>
      </c>
      <c r="K715" s="97" t="s">
        <v>538</v>
      </c>
      <c r="L715" s="97">
        <v>9285</v>
      </c>
      <c r="M715" s="97" t="s">
        <v>796</v>
      </c>
      <c r="N715" s="186">
        <v>3824.87</v>
      </c>
      <c r="O715" s="186"/>
      <c r="Q715" s="245">
        <v>10</v>
      </c>
      <c r="R715" s="30">
        <f t="shared" si="86"/>
        <v>31.865583333333333</v>
      </c>
      <c r="S715" s="5">
        <v>2071.2629166666666</v>
      </c>
      <c r="T715" s="313">
        <f t="shared" si="94"/>
        <v>2103.1284999999998</v>
      </c>
      <c r="U715" s="15">
        <f t="shared" si="95"/>
        <v>31.865583333333234</v>
      </c>
      <c r="V715" s="313">
        <f t="shared" si="89"/>
        <v>1721.7415000000001</v>
      </c>
      <c r="Y715" s="313"/>
      <c r="Z715" s="114">
        <f t="shared" si="90"/>
        <v>66</v>
      </c>
    </row>
    <row r="716" spans="1:27" s="345" customFormat="1" x14ac:dyDescent="0.25">
      <c r="B716" s="345" t="s">
        <v>2184</v>
      </c>
      <c r="C716" s="345" t="s">
        <v>1037</v>
      </c>
      <c r="D716" s="345" t="s">
        <v>2738</v>
      </c>
      <c r="E716" s="94" t="s">
        <v>2185</v>
      </c>
      <c r="F716" s="94" t="s">
        <v>2186</v>
      </c>
      <c r="G716" s="212" t="str">
        <f t="shared" si="91"/>
        <v>22/7/2010</v>
      </c>
      <c r="H716" s="345">
        <v>22</v>
      </c>
      <c r="I716" s="345">
        <v>7</v>
      </c>
      <c r="J716" s="345">
        <v>2010</v>
      </c>
      <c r="K716" s="345" t="s">
        <v>538</v>
      </c>
      <c r="L716" s="94">
        <v>106</v>
      </c>
      <c r="M716" s="345" t="s">
        <v>796</v>
      </c>
      <c r="N716" s="360">
        <v>148202.76</v>
      </c>
      <c r="O716" s="361"/>
      <c r="P716" s="351"/>
      <c r="Q716" s="245">
        <v>10</v>
      </c>
      <c r="R716" s="84">
        <f t="shared" si="86"/>
        <v>1235.0146666666667</v>
      </c>
      <c r="S716" s="5">
        <v>80275.953333333338</v>
      </c>
      <c r="T716" s="313">
        <f t="shared" si="94"/>
        <v>81510.968000000008</v>
      </c>
      <c r="U716" s="15">
        <f t="shared" si="95"/>
        <v>1235.0146666666697</v>
      </c>
      <c r="V716" s="346">
        <f t="shared" si="89"/>
        <v>66691.792000000001</v>
      </c>
      <c r="Y716" s="346"/>
      <c r="Z716" s="95">
        <f t="shared" si="90"/>
        <v>66</v>
      </c>
    </row>
    <row r="717" spans="1:27" s="245" customFormat="1" x14ac:dyDescent="0.25">
      <c r="B717" s="245" t="s">
        <v>2187</v>
      </c>
      <c r="E717" s="97"/>
      <c r="F717" s="97" t="s">
        <v>595</v>
      </c>
      <c r="G717" s="132" t="str">
        <f t="shared" si="91"/>
        <v>17/7/2010</v>
      </c>
      <c r="H717" s="245">
        <v>17</v>
      </c>
      <c r="I717" s="245">
        <v>7</v>
      </c>
      <c r="J717" s="245">
        <v>2010</v>
      </c>
      <c r="K717" s="245" t="s">
        <v>538</v>
      </c>
      <c r="L717" s="97" t="s">
        <v>2188</v>
      </c>
      <c r="M717" s="245" t="s">
        <v>796</v>
      </c>
      <c r="N717" s="358">
        <v>23350.2</v>
      </c>
      <c r="O717" s="358"/>
      <c r="Q717" s="245">
        <v>10</v>
      </c>
      <c r="R717" s="30">
        <f t="shared" si="86"/>
        <v>194.57666666666668</v>
      </c>
      <c r="S717" s="5">
        <v>12647.483333333334</v>
      </c>
      <c r="T717" s="313">
        <f t="shared" si="94"/>
        <v>12842.060000000001</v>
      </c>
      <c r="U717" s="15">
        <f t="shared" si="95"/>
        <v>194.57666666666773</v>
      </c>
      <c r="V717" s="313">
        <f t="shared" si="89"/>
        <v>10508.14</v>
      </c>
      <c r="Y717" s="313"/>
      <c r="Z717" s="114">
        <f t="shared" si="90"/>
        <v>66</v>
      </c>
    </row>
    <row r="718" spans="1:27" s="245" customFormat="1" x14ac:dyDescent="0.25">
      <c r="B718" s="245" t="s">
        <v>2189</v>
      </c>
      <c r="D718" s="245" t="s">
        <v>2736</v>
      </c>
      <c r="E718" s="97"/>
      <c r="F718" s="97" t="s">
        <v>2190</v>
      </c>
      <c r="G718" s="132" t="str">
        <f t="shared" si="91"/>
        <v>15/3/2010</v>
      </c>
      <c r="H718" s="245">
        <v>15</v>
      </c>
      <c r="I718" s="245">
        <v>3</v>
      </c>
      <c r="J718" s="245">
        <v>2010</v>
      </c>
      <c r="K718" s="245" t="s">
        <v>538</v>
      </c>
      <c r="L718" s="97">
        <v>8493</v>
      </c>
      <c r="M718" s="245" t="s">
        <v>796</v>
      </c>
      <c r="N718" s="358">
        <v>6573.93</v>
      </c>
      <c r="O718" s="358"/>
      <c r="P718" s="358"/>
      <c r="Q718" s="245">
        <v>10</v>
      </c>
      <c r="R718" s="30">
        <f t="shared" si="86"/>
        <v>54.774416666666667</v>
      </c>
      <c r="S718" s="5">
        <v>3779.4347499999999</v>
      </c>
      <c r="T718" s="313">
        <f t="shared" si="94"/>
        <v>3834.2091666666665</v>
      </c>
      <c r="U718" s="15">
        <f t="shared" si="95"/>
        <v>54.774416666666639</v>
      </c>
      <c r="V718" s="313">
        <f t="shared" si="89"/>
        <v>2739.7208333333338</v>
      </c>
      <c r="Y718" s="313"/>
      <c r="Z718" s="114">
        <f t="shared" si="90"/>
        <v>70</v>
      </c>
    </row>
    <row r="719" spans="1:27" s="245" customFormat="1" x14ac:dyDescent="0.25">
      <c r="B719" s="245" t="s">
        <v>2189</v>
      </c>
      <c r="D719" s="245" t="s">
        <v>2736</v>
      </c>
      <c r="E719" s="97"/>
      <c r="F719" s="97" t="s">
        <v>2190</v>
      </c>
      <c r="G719" s="132" t="str">
        <f t="shared" si="91"/>
        <v>15/3/2010</v>
      </c>
      <c r="H719" s="245">
        <v>15</v>
      </c>
      <c r="I719" s="245">
        <v>3</v>
      </c>
      <c r="J719" s="245">
        <v>2010</v>
      </c>
      <c r="K719" s="245" t="s">
        <v>538</v>
      </c>
      <c r="L719" s="97">
        <v>8493</v>
      </c>
      <c r="M719" s="245" t="s">
        <v>796</v>
      </c>
      <c r="N719" s="358">
        <v>6573.93</v>
      </c>
      <c r="O719" s="358"/>
      <c r="Q719" s="245">
        <v>10</v>
      </c>
      <c r="R719" s="30">
        <f t="shared" si="86"/>
        <v>54.774416666666667</v>
      </c>
      <c r="S719" s="5">
        <v>3779.4347499999999</v>
      </c>
      <c r="T719" s="313">
        <f t="shared" si="94"/>
        <v>3834.2091666666665</v>
      </c>
      <c r="U719" s="15">
        <f t="shared" si="95"/>
        <v>54.774416666666639</v>
      </c>
      <c r="V719" s="313">
        <f t="shared" si="89"/>
        <v>2739.7208333333338</v>
      </c>
      <c r="Y719" s="313"/>
      <c r="Z719" s="114">
        <f t="shared" si="90"/>
        <v>70</v>
      </c>
    </row>
    <row r="720" spans="1:27" s="245" customFormat="1" x14ac:dyDescent="0.25">
      <c r="B720" s="245" t="s">
        <v>2191</v>
      </c>
      <c r="D720" s="245" t="s">
        <v>2737</v>
      </c>
      <c r="E720" s="97"/>
      <c r="F720" s="97" t="s">
        <v>2190</v>
      </c>
      <c r="G720" s="132" t="str">
        <f t="shared" si="91"/>
        <v>15/3/2010</v>
      </c>
      <c r="H720" s="245">
        <v>15</v>
      </c>
      <c r="I720" s="245">
        <v>3</v>
      </c>
      <c r="J720" s="245">
        <v>2010</v>
      </c>
      <c r="K720" s="245" t="s">
        <v>538</v>
      </c>
      <c r="L720" s="97">
        <v>8493</v>
      </c>
      <c r="M720" s="245" t="s">
        <v>796</v>
      </c>
      <c r="N720" s="358">
        <v>5802.9</v>
      </c>
      <c r="O720" s="358"/>
      <c r="Q720" s="245">
        <v>10</v>
      </c>
      <c r="R720" s="30">
        <f t="shared" si="86"/>
        <v>48.349166666666662</v>
      </c>
      <c r="S720" s="5">
        <v>3336.0924999999997</v>
      </c>
      <c r="T720" s="313">
        <f t="shared" si="94"/>
        <v>3384.4416666666662</v>
      </c>
      <c r="U720" s="15">
        <f t="shared" si="95"/>
        <v>48.349166666666406</v>
      </c>
      <c r="V720" s="313">
        <f t="shared" si="89"/>
        <v>2418.4583333333335</v>
      </c>
      <c r="Y720" s="313"/>
      <c r="Z720" s="114">
        <f t="shared" si="90"/>
        <v>70</v>
      </c>
    </row>
    <row r="721" spans="2:26" s="245" customFormat="1" x14ac:dyDescent="0.25">
      <c r="B721" s="245" t="s">
        <v>2192</v>
      </c>
      <c r="E721" s="97"/>
      <c r="F721" s="97" t="s">
        <v>2190</v>
      </c>
      <c r="G721" s="132" t="str">
        <f t="shared" si="91"/>
        <v>15/3/2010</v>
      </c>
      <c r="H721" s="245">
        <v>15</v>
      </c>
      <c r="I721" s="245">
        <v>3</v>
      </c>
      <c r="J721" s="245">
        <v>2010</v>
      </c>
      <c r="K721" s="245" t="s">
        <v>538</v>
      </c>
      <c r="L721" s="97">
        <v>8493</v>
      </c>
      <c r="M721" s="245" t="s">
        <v>796</v>
      </c>
      <c r="N721" s="358">
        <v>3925.78</v>
      </c>
      <c r="O721" s="358"/>
      <c r="P721" s="358"/>
      <c r="Q721" s="245">
        <v>10</v>
      </c>
      <c r="R721" s="30">
        <f t="shared" si="86"/>
        <v>32.706499999999998</v>
      </c>
      <c r="S721" s="5">
        <v>2256.7484999999997</v>
      </c>
      <c r="T721" s="313">
        <f t="shared" si="94"/>
        <v>2289.4549999999999</v>
      </c>
      <c r="U721" s="15">
        <f t="shared" si="95"/>
        <v>32.706500000000233</v>
      </c>
      <c r="V721" s="313">
        <f t="shared" si="89"/>
        <v>1636.3250000000003</v>
      </c>
      <c r="Y721" s="313"/>
      <c r="Z721" s="114">
        <f t="shared" si="90"/>
        <v>70</v>
      </c>
    </row>
    <row r="722" spans="2:26" s="103" customFormat="1" x14ac:dyDescent="0.25">
      <c r="B722" s="103" t="s">
        <v>2192</v>
      </c>
      <c r="E722" s="97"/>
      <c r="F722" s="97" t="s">
        <v>2190</v>
      </c>
      <c r="G722" s="132" t="str">
        <f t="shared" si="91"/>
        <v>15/3/2010</v>
      </c>
      <c r="H722" s="103">
        <v>15</v>
      </c>
      <c r="I722" s="103">
        <v>3</v>
      </c>
      <c r="J722" s="103">
        <v>2010</v>
      </c>
      <c r="K722" s="103" t="s">
        <v>538</v>
      </c>
      <c r="L722" s="97">
        <v>8493</v>
      </c>
      <c r="M722" s="103" t="s">
        <v>796</v>
      </c>
      <c r="N722" s="221">
        <v>3925.78</v>
      </c>
      <c r="O722" s="221"/>
      <c r="Q722" s="103">
        <v>10</v>
      </c>
      <c r="R722" s="30">
        <f t="shared" si="86"/>
        <v>32.706499999999998</v>
      </c>
      <c r="S722" s="5">
        <v>2256.7484999999997</v>
      </c>
      <c r="T722" s="313">
        <f t="shared" si="94"/>
        <v>2289.4549999999999</v>
      </c>
      <c r="U722" s="15">
        <f t="shared" si="95"/>
        <v>32.706500000000233</v>
      </c>
      <c r="V722" s="135">
        <f t="shared" si="89"/>
        <v>1636.3250000000003</v>
      </c>
      <c r="Y722" s="135"/>
      <c r="Z722" s="114">
        <f t="shared" si="90"/>
        <v>70</v>
      </c>
    </row>
    <row r="723" spans="2:26" s="103" customFormat="1" x14ac:dyDescent="0.25">
      <c r="B723" s="103" t="s">
        <v>2192</v>
      </c>
      <c r="E723" s="97"/>
      <c r="F723" s="97" t="s">
        <v>2190</v>
      </c>
      <c r="G723" s="132" t="str">
        <f t="shared" si="91"/>
        <v>15/3/2010</v>
      </c>
      <c r="H723" s="103">
        <v>15</v>
      </c>
      <c r="I723" s="103">
        <v>3</v>
      </c>
      <c r="J723" s="103">
        <v>2010</v>
      </c>
      <c r="K723" s="103" t="s">
        <v>538</v>
      </c>
      <c r="L723" s="97">
        <v>8493</v>
      </c>
      <c r="M723" s="103" t="s">
        <v>796</v>
      </c>
      <c r="N723" s="221">
        <v>3925.78</v>
      </c>
      <c r="O723" s="221"/>
      <c r="Q723" s="103">
        <v>10</v>
      </c>
      <c r="R723" s="30">
        <f t="shared" si="86"/>
        <v>32.706499999999998</v>
      </c>
      <c r="S723" s="5">
        <v>2256.7484999999997</v>
      </c>
      <c r="T723" s="313">
        <f t="shared" si="94"/>
        <v>2289.4549999999999</v>
      </c>
      <c r="U723" s="15">
        <f t="shared" si="95"/>
        <v>32.706500000000233</v>
      </c>
      <c r="V723" s="135">
        <f t="shared" si="89"/>
        <v>1636.3250000000003</v>
      </c>
      <c r="Y723" s="135"/>
      <c r="Z723" s="114">
        <f t="shared" si="90"/>
        <v>70</v>
      </c>
    </row>
    <row r="724" spans="2:26" s="103" customFormat="1" x14ac:dyDescent="0.25">
      <c r="B724" s="103" t="s">
        <v>2193</v>
      </c>
      <c r="E724" s="97"/>
      <c r="F724" s="97" t="s">
        <v>2190</v>
      </c>
      <c r="G724" s="132" t="str">
        <f t="shared" si="91"/>
        <v>15/3/2010</v>
      </c>
      <c r="H724" s="103">
        <v>15</v>
      </c>
      <c r="I724" s="103">
        <v>3</v>
      </c>
      <c r="J724" s="103">
        <v>2010</v>
      </c>
      <c r="K724" s="103" t="s">
        <v>538</v>
      </c>
      <c r="L724" s="97">
        <v>8493</v>
      </c>
      <c r="M724" s="103" t="s">
        <v>796</v>
      </c>
      <c r="N724" s="221">
        <v>1890.23</v>
      </c>
      <c r="O724" s="221"/>
      <c r="Q724" s="103">
        <v>10</v>
      </c>
      <c r="R724" s="30">
        <f t="shared" si="86"/>
        <v>15.743583333333333</v>
      </c>
      <c r="S724" s="5">
        <v>1086.3072500000001</v>
      </c>
      <c r="T724" s="313">
        <f t="shared" si="94"/>
        <v>1102.0508333333332</v>
      </c>
      <c r="U724" s="15">
        <f t="shared" si="95"/>
        <v>15.743583333333163</v>
      </c>
      <c r="V724" s="135">
        <f t="shared" si="89"/>
        <v>788.17916666666679</v>
      </c>
      <c r="Y724" s="135"/>
      <c r="Z724" s="114">
        <f t="shared" si="90"/>
        <v>70</v>
      </c>
    </row>
    <row r="725" spans="2:26" s="51" customFormat="1" x14ac:dyDescent="0.25">
      <c r="B725" s="362" t="s">
        <v>2848</v>
      </c>
      <c r="C725" s="40" t="s">
        <v>2734</v>
      </c>
      <c r="D725" s="40" t="s">
        <v>2735</v>
      </c>
      <c r="E725" s="70">
        <v>3101091100022</v>
      </c>
      <c r="F725" s="40" t="s">
        <v>2194</v>
      </c>
      <c r="G725" s="234" t="str">
        <f>CONCATENATE(H725,"/",I725,"/",J725,)</f>
        <v>17/1/2010</v>
      </c>
      <c r="H725" s="63">
        <v>17</v>
      </c>
      <c r="I725" s="63">
        <v>1</v>
      </c>
      <c r="J725" s="64">
        <v>2010</v>
      </c>
      <c r="K725" s="40" t="s">
        <v>538</v>
      </c>
      <c r="L725" s="70">
        <v>45123</v>
      </c>
      <c r="M725" s="103" t="s">
        <v>796</v>
      </c>
      <c r="N725" s="221">
        <v>29924.400000000001</v>
      </c>
      <c r="Q725" s="51">
        <v>10</v>
      </c>
      <c r="R725" s="30">
        <f>(((N725)-1)/10)/12</f>
        <v>249.36166666666668</v>
      </c>
      <c r="S725" s="5">
        <v>17704.678333333333</v>
      </c>
      <c r="T725" s="313">
        <f>Z725*R725</f>
        <v>17954.04</v>
      </c>
      <c r="U725" s="15">
        <f>T725-S725</f>
        <v>249.36166666666759</v>
      </c>
      <c r="V725" s="135">
        <f>N725-T725</f>
        <v>11970.36</v>
      </c>
      <c r="Z725" s="114">
        <f t="shared" si="90"/>
        <v>72</v>
      </c>
    </row>
    <row r="726" spans="2:26" s="51" customFormat="1" x14ac:dyDescent="0.25">
      <c r="B726" s="362" t="s">
        <v>2849</v>
      </c>
      <c r="C726" s="40" t="s">
        <v>2734</v>
      </c>
      <c r="D726" s="40" t="s">
        <v>2735</v>
      </c>
      <c r="E726" s="40" t="s">
        <v>2195</v>
      </c>
      <c r="F726" s="40" t="s">
        <v>2194</v>
      </c>
      <c r="G726" s="234" t="str">
        <f>CONCATENATE(H726,"/",I726,"/",J726,)</f>
        <v>17/1/2010</v>
      </c>
      <c r="H726" s="63">
        <v>17</v>
      </c>
      <c r="I726" s="63">
        <v>1</v>
      </c>
      <c r="J726" s="64">
        <v>2010</v>
      </c>
      <c r="K726" s="40" t="s">
        <v>538</v>
      </c>
      <c r="L726" s="40">
        <v>45123</v>
      </c>
      <c r="M726" s="103" t="s">
        <v>796</v>
      </c>
      <c r="N726" s="221">
        <v>74000.490000000005</v>
      </c>
      <c r="Q726" s="51">
        <v>10</v>
      </c>
      <c r="R726" s="30">
        <f>(((N726)-1)/10)/12</f>
        <v>616.66241666666667</v>
      </c>
      <c r="S726" s="5">
        <v>43783.031583333337</v>
      </c>
      <c r="T726" s="313">
        <f>Z726*R726</f>
        <v>44399.694000000003</v>
      </c>
      <c r="U726" s="15">
        <f>T726-S726</f>
        <v>616.6624166666661</v>
      </c>
      <c r="V726" s="135">
        <f>N726-T726</f>
        <v>29600.796000000002</v>
      </c>
      <c r="Z726" s="114">
        <f t="shared" si="90"/>
        <v>72</v>
      </c>
    </row>
    <row r="727" spans="2:26" s="245" customFormat="1" x14ac:dyDescent="0.25">
      <c r="B727" s="245" t="s">
        <v>2850</v>
      </c>
      <c r="C727" s="40" t="s">
        <v>2734</v>
      </c>
      <c r="D727" s="40" t="s">
        <v>2735</v>
      </c>
      <c r="E727" s="134">
        <v>3069691100392</v>
      </c>
      <c r="F727" s="97" t="s">
        <v>2196</v>
      </c>
      <c r="G727" s="132" t="str">
        <f t="shared" si="91"/>
        <v>17/1/2010</v>
      </c>
      <c r="H727" s="245">
        <v>17</v>
      </c>
      <c r="I727" s="245">
        <v>1</v>
      </c>
      <c r="J727" s="245">
        <v>2010</v>
      </c>
      <c r="K727" s="245" t="s">
        <v>538</v>
      </c>
      <c r="L727" s="97">
        <v>45123</v>
      </c>
      <c r="M727" s="245" t="s">
        <v>796</v>
      </c>
      <c r="N727" s="358">
        <v>21420.09</v>
      </c>
      <c r="O727" s="358"/>
      <c r="P727" s="358"/>
      <c r="Q727" s="245">
        <v>10</v>
      </c>
      <c r="R727" s="30">
        <f t="shared" si="86"/>
        <v>178.49241666666668</v>
      </c>
      <c r="S727" s="5">
        <v>12672.961583333336</v>
      </c>
      <c r="T727" s="313">
        <f t="shared" si="94"/>
        <v>12851.454000000002</v>
      </c>
      <c r="U727" s="15">
        <f t="shared" si="95"/>
        <v>178.49241666666603</v>
      </c>
      <c r="V727" s="313">
        <f t="shared" si="89"/>
        <v>8568.6359999999986</v>
      </c>
      <c r="Y727" s="313"/>
      <c r="Z727" s="114">
        <f t="shared" si="90"/>
        <v>72</v>
      </c>
    </row>
    <row r="728" spans="2:26" s="245" customFormat="1" x14ac:dyDescent="0.25">
      <c r="B728" s="245" t="s">
        <v>2851</v>
      </c>
      <c r="C728" s="40" t="s">
        <v>2734</v>
      </c>
      <c r="D728" s="40" t="s">
        <v>2735</v>
      </c>
      <c r="E728" s="134">
        <v>3069691100385</v>
      </c>
      <c r="F728" s="97" t="s">
        <v>2196</v>
      </c>
      <c r="G728" s="132" t="str">
        <f t="shared" si="91"/>
        <v>17/1/2010</v>
      </c>
      <c r="H728" s="245">
        <v>17</v>
      </c>
      <c r="I728" s="245">
        <v>1</v>
      </c>
      <c r="J728" s="245">
        <v>2010</v>
      </c>
      <c r="K728" s="245" t="s">
        <v>538</v>
      </c>
      <c r="L728" s="97">
        <v>45123</v>
      </c>
      <c r="M728" s="245" t="s">
        <v>796</v>
      </c>
      <c r="N728" s="358">
        <v>21420.09</v>
      </c>
      <c r="O728" s="358"/>
      <c r="Q728" s="245">
        <v>10</v>
      </c>
      <c r="R728" s="30">
        <f t="shared" si="86"/>
        <v>178.49241666666668</v>
      </c>
      <c r="S728" s="5">
        <v>12672.961583333336</v>
      </c>
      <c r="T728" s="313">
        <f t="shared" si="94"/>
        <v>12851.454000000002</v>
      </c>
      <c r="U728" s="15">
        <f t="shared" si="95"/>
        <v>178.49241666666603</v>
      </c>
      <c r="V728" s="313">
        <f t="shared" si="89"/>
        <v>8568.6359999999986</v>
      </c>
      <c r="Y728" s="313"/>
      <c r="Z728" s="114">
        <f t="shared" si="90"/>
        <v>72</v>
      </c>
    </row>
    <row r="729" spans="2:26" s="245" customFormat="1" x14ac:dyDescent="0.25">
      <c r="B729" s="245" t="s">
        <v>2852</v>
      </c>
      <c r="C729" s="40" t="s">
        <v>2734</v>
      </c>
      <c r="D729" s="40" t="s">
        <v>2735</v>
      </c>
      <c r="E729" s="134">
        <v>3069691100391</v>
      </c>
      <c r="F729" s="97" t="s">
        <v>2196</v>
      </c>
      <c r="G729" s="132" t="str">
        <f t="shared" si="91"/>
        <v>17/1/2010</v>
      </c>
      <c r="H729" s="245">
        <v>17</v>
      </c>
      <c r="I729" s="245">
        <v>1</v>
      </c>
      <c r="J729" s="245">
        <v>2010</v>
      </c>
      <c r="K729" s="245" t="s">
        <v>538</v>
      </c>
      <c r="L729" s="97">
        <v>45123</v>
      </c>
      <c r="M729" s="245" t="s">
        <v>796</v>
      </c>
      <c r="N729" s="358">
        <v>21420.09</v>
      </c>
      <c r="O729" s="358"/>
      <c r="Q729" s="245">
        <v>10</v>
      </c>
      <c r="R729" s="30">
        <f t="shared" si="86"/>
        <v>178.49241666666668</v>
      </c>
      <c r="S729" s="5">
        <v>12672.961583333336</v>
      </c>
      <c r="T729" s="313">
        <f t="shared" si="94"/>
        <v>12851.454000000002</v>
      </c>
      <c r="U729" s="15">
        <f t="shared" si="95"/>
        <v>178.49241666666603</v>
      </c>
      <c r="V729" s="313">
        <f t="shared" si="89"/>
        <v>8568.6359999999986</v>
      </c>
      <c r="Y729" s="313"/>
      <c r="Z729" s="114">
        <f t="shared" si="90"/>
        <v>72</v>
      </c>
    </row>
    <row r="730" spans="2:26" s="245" customFormat="1" x14ac:dyDescent="0.25">
      <c r="B730" s="245" t="s">
        <v>2853</v>
      </c>
      <c r="C730" s="40" t="s">
        <v>2734</v>
      </c>
      <c r="D730" s="40" t="s">
        <v>2735</v>
      </c>
      <c r="E730" s="134">
        <v>3069691100380</v>
      </c>
      <c r="F730" s="97" t="s">
        <v>2196</v>
      </c>
      <c r="G730" s="132" t="str">
        <f t="shared" si="91"/>
        <v>17/1/2010</v>
      </c>
      <c r="H730" s="245">
        <v>17</v>
      </c>
      <c r="I730" s="245">
        <v>1</v>
      </c>
      <c r="J730" s="245">
        <v>2010</v>
      </c>
      <c r="K730" s="245" t="s">
        <v>538</v>
      </c>
      <c r="L730" s="97">
        <v>45123</v>
      </c>
      <c r="M730" s="245" t="s">
        <v>796</v>
      </c>
      <c r="N730" s="358">
        <v>21420.09</v>
      </c>
      <c r="O730" s="358"/>
      <c r="Q730" s="245">
        <v>10</v>
      </c>
      <c r="R730" s="30">
        <f t="shared" si="86"/>
        <v>178.49241666666668</v>
      </c>
      <c r="S730" s="5">
        <v>12672.961583333336</v>
      </c>
      <c r="T730" s="313">
        <f t="shared" si="94"/>
        <v>12851.454000000002</v>
      </c>
      <c r="U730" s="15">
        <f t="shared" si="95"/>
        <v>178.49241666666603</v>
      </c>
      <c r="V730" s="313">
        <f t="shared" si="89"/>
        <v>8568.6359999999986</v>
      </c>
      <c r="Y730" s="313"/>
      <c r="Z730" s="114">
        <f t="shared" si="90"/>
        <v>72</v>
      </c>
    </row>
    <row r="731" spans="2:26" s="245" customFormat="1" x14ac:dyDescent="0.25">
      <c r="B731" s="245" t="s">
        <v>2854</v>
      </c>
      <c r="C731" s="40" t="s">
        <v>2734</v>
      </c>
      <c r="D731" s="40" t="s">
        <v>2735</v>
      </c>
      <c r="E731" s="134">
        <v>3069691100382</v>
      </c>
      <c r="F731" s="97" t="s">
        <v>2196</v>
      </c>
      <c r="G731" s="132" t="str">
        <f t="shared" si="91"/>
        <v>17/1/2010</v>
      </c>
      <c r="H731" s="245">
        <v>17</v>
      </c>
      <c r="I731" s="245">
        <v>1</v>
      </c>
      <c r="J731" s="245">
        <v>2010</v>
      </c>
      <c r="K731" s="245" t="s">
        <v>538</v>
      </c>
      <c r="L731" s="97">
        <v>45123</v>
      </c>
      <c r="M731" s="245" t="s">
        <v>796</v>
      </c>
      <c r="N731" s="358">
        <v>21420.09</v>
      </c>
      <c r="O731" s="358"/>
      <c r="Q731" s="245">
        <v>10</v>
      </c>
      <c r="R731" s="30">
        <f t="shared" si="86"/>
        <v>178.49241666666668</v>
      </c>
      <c r="S731" s="5">
        <v>12672.961583333336</v>
      </c>
      <c r="T731" s="313">
        <f t="shared" si="94"/>
        <v>12851.454000000002</v>
      </c>
      <c r="U731" s="15">
        <f t="shared" si="95"/>
        <v>178.49241666666603</v>
      </c>
      <c r="V731" s="313">
        <f t="shared" si="89"/>
        <v>8568.6359999999986</v>
      </c>
      <c r="Y731" s="313"/>
      <c r="Z731" s="114">
        <f t="shared" si="90"/>
        <v>72</v>
      </c>
    </row>
    <row r="732" spans="2:26" s="245" customFormat="1" x14ac:dyDescent="0.25">
      <c r="B732" s="245" t="s">
        <v>2855</v>
      </c>
      <c r="C732" s="40" t="s">
        <v>2734</v>
      </c>
      <c r="D732" s="40" t="s">
        <v>2735</v>
      </c>
      <c r="E732" s="134">
        <v>3069691100384</v>
      </c>
      <c r="F732" s="97" t="s">
        <v>2196</v>
      </c>
      <c r="G732" s="132" t="str">
        <f t="shared" si="91"/>
        <v>17/1/2010</v>
      </c>
      <c r="H732" s="245">
        <v>17</v>
      </c>
      <c r="I732" s="245">
        <v>1</v>
      </c>
      <c r="J732" s="245">
        <v>2010</v>
      </c>
      <c r="K732" s="245" t="s">
        <v>538</v>
      </c>
      <c r="L732" s="97">
        <v>45123</v>
      </c>
      <c r="M732" s="245" t="s">
        <v>796</v>
      </c>
      <c r="N732" s="358">
        <v>21420.09</v>
      </c>
      <c r="O732" s="358"/>
      <c r="Q732" s="245">
        <v>10</v>
      </c>
      <c r="R732" s="30">
        <f t="shared" si="86"/>
        <v>178.49241666666668</v>
      </c>
      <c r="S732" s="5">
        <v>12672.961583333336</v>
      </c>
      <c r="T732" s="313">
        <f t="shared" si="94"/>
        <v>12851.454000000002</v>
      </c>
      <c r="U732" s="15">
        <f t="shared" si="95"/>
        <v>178.49241666666603</v>
      </c>
      <c r="V732" s="313">
        <f t="shared" si="89"/>
        <v>8568.6359999999986</v>
      </c>
      <c r="Y732" s="313"/>
      <c r="Z732" s="114">
        <f t="shared" si="90"/>
        <v>72</v>
      </c>
    </row>
    <row r="733" spans="2:26" s="245" customFormat="1" x14ac:dyDescent="0.25">
      <c r="B733" s="245" t="s">
        <v>2856</v>
      </c>
      <c r="C733" s="40" t="s">
        <v>2734</v>
      </c>
      <c r="D733" s="40" t="s">
        <v>2735</v>
      </c>
      <c r="E733" s="134">
        <v>3069691100393</v>
      </c>
      <c r="F733" s="97" t="s">
        <v>2196</v>
      </c>
      <c r="G733" s="132" t="str">
        <f t="shared" si="91"/>
        <v>17/1/2010</v>
      </c>
      <c r="H733" s="245">
        <v>17</v>
      </c>
      <c r="I733" s="245">
        <v>1</v>
      </c>
      <c r="J733" s="245">
        <v>2010</v>
      </c>
      <c r="K733" s="245" t="s">
        <v>538</v>
      </c>
      <c r="L733" s="97">
        <v>45123</v>
      </c>
      <c r="M733" s="245" t="s">
        <v>796</v>
      </c>
      <c r="N733" s="358">
        <v>21420.09</v>
      </c>
      <c r="O733" s="358"/>
      <c r="Q733" s="245">
        <v>10</v>
      </c>
      <c r="R733" s="30">
        <f t="shared" si="86"/>
        <v>178.49241666666668</v>
      </c>
      <c r="S733" s="5">
        <v>12672.961583333336</v>
      </c>
      <c r="T733" s="313">
        <f t="shared" si="94"/>
        <v>12851.454000000002</v>
      </c>
      <c r="U733" s="15">
        <f t="shared" si="95"/>
        <v>178.49241666666603</v>
      </c>
      <c r="V733" s="313">
        <f t="shared" si="89"/>
        <v>8568.6359999999986</v>
      </c>
      <c r="Y733" s="313"/>
      <c r="Z733" s="114">
        <f t="shared" si="90"/>
        <v>72</v>
      </c>
    </row>
    <row r="734" spans="2:26" s="245" customFormat="1" x14ac:dyDescent="0.25">
      <c r="B734" s="245" t="s">
        <v>2197</v>
      </c>
      <c r="C734" s="245" t="s">
        <v>133</v>
      </c>
      <c r="E734" s="97"/>
      <c r="F734" s="97" t="s">
        <v>2047</v>
      </c>
      <c r="G734" s="132" t="str">
        <f t="shared" si="91"/>
        <v>4/3/2010</v>
      </c>
      <c r="H734" s="245">
        <v>4</v>
      </c>
      <c r="I734" s="245">
        <v>3</v>
      </c>
      <c r="J734" s="245">
        <v>2010</v>
      </c>
      <c r="K734" s="245" t="s">
        <v>538</v>
      </c>
      <c r="L734" s="134" t="s">
        <v>2198</v>
      </c>
      <c r="M734" s="245" t="s">
        <v>796</v>
      </c>
      <c r="N734" s="358">
        <v>3495</v>
      </c>
      <c r="O734" s="358"/>
      <c r="Q734" s="245">
        <v>10</v>
      </c>
      <c r="R734" s="30">
        <f t="shared" si="86"/>
        <v>29.116666666666664</v>
      </c>
      <c r="S734" s="5">
        <v>2009.0499999999997</v>
      </c>
      <c r="T734" s="313">
        <f t="shared" si="94"/>
        <v>2038.1666666666665</v>
      </c>
      <c r="U734" s="15">
        <f t="shared" si="95"/>
        <v>29.116666666666788</v>
      </c>
      <c r="V734" s="313">
        <f t="shared" si="89"/>
        <v>1456.8333333333335</v>
      </c>
      <c r="Y734" s="313"/>
      <c r="Z734" s="114">
        <f t="shared" si="90"/>
        <v>70</v>
      </c>
    </row>
    <row r="735" spans="2:26" s="103" customFormat="1" x14ac:dyDescent="0.25">
      <c r="B735" s="215" t="s">
        <v>2199</v>
      </c>
      <c r="E735" s="97"/>
      <c r="F735" s="97" t="s">
        <v>2047</v>
      </c>
      <c r="G735" s="132" t="str">
        <f t="shared" si="91"/>
        <v>26/5/2010</v>
      </c>
      <c r="H735" s="103">
        <v>26</v>
      </c>
      <c r="I735" s="103">
        <v>5</v>
      </c>
      <c r="J735" s="103">
        <v>2010</v>
      </c>
      <c r="K735" s="103" t="s">
        <v>538</v>
      </c>
      <c r="L735" s="134" t="s">
        <v>2200</v>
      </c>
      <c r="M735" s="103" t="s">
        <v>796</v>
      </c>
      <c r="N735" s="221">
        <v>2195</v>
      </c>
      <c r="O735" s="221"/>
      <c r="Q735" s="103">
        <v>10</v>
      </c>
      <c r="R735" s="30">
        <f t="shared" si="86"/>
        <v>18.283333333333335</v>
      </c>
      <c r="S735" s="5">
        <v>1224.9833333333333</v>
      </c>
      <c r="T735" s="313">
        <f t="shared" si="94"/>
        <v>1243.2666666666669</v>
      </c>
      <c r="U735" s="15">
        <f t="shared" si="95"/>
        <v>18.28333333333353</v>
      </c>
      <c r="V735" s="135">
        <f t="shared" si="89"/>
        <v>951.73333333333312</v>
      </c>
      <c r="Y735" s="135"/>
      <c r="Z735" s="114">
        <f t="shared" si="90"/>
        <v>68</v>
      </c>
    </row>
    <row r="736" spans="2:26" s="103" customFormat="1" x14ac:dyDescent="0.25">
      <c r="B736" s="215" t="s">
        <v>2201</v>
      </c>
      <c r="E736" s="97"/>
      <c r="F736" s="97" t="s">
        <v>2202</v>
      </c>
      <c r="G736" s="132" t="str">
        <f t="shared" si="91"/>
        <v>21/12/2010</v>
      </c>
      <c r="H736" s="103">
        <v>21</v>
      </c>
      <c r="I736" s="103">
        <v>12</v>
      </c>
      <c r="J736" s="103">
        <v>2010</v>
      </c>
      <c r="K736" s="103" t="s">
        <v>538</v>
      </c>
      <c r="L736" s="134">
        <v>927</v>
      </c>
      <c r="M736" s="103" t="s">
        <v>796</v>
      </c>
      <c r="N736" s="221">
        <v>16885.25</v>
      </c>
      <c r="O736" s="221"/>
      <c r="Q736" s="103">
        <v>10</v>
      </c>
      <c r="R736" s="30">
        <f t="shared" si="86"/>
        <v>140.70208333333332</v>
      </c>
      <c r="S736" s="5">
        <v>8442.125</v>
      </c>
      <c r="T736" s="313">
        <f t="shared" si="94"/>
        <v>8582.8270833333318</v>
      </c>
      <c r="U736" s="15">
        <f t="shared" si="95"/>
        <v>140.70208333333176</v>
      </c>
      <c r="V736" s="135">
        <f t="shared" si="89"/>
        <v>8302.4229166666682</v>
      </c>
      <c r="Y736" s="135"/>
      <c r="Z736" s="114">
        <f t="shared" si="90"/>
        <v>61</v>
      </c>
    </row>
    <row r="737" spans="1:27" s="245" customFormat="1" x14ac:dyDescent="0.25">
      <c r="A737" s="22" t="s">
        <v>598</v>
      </c>
      <c r="B737" s="97"/>
      <c r="C737" s="97"/>
      <c r="D737" s="97"/>
      <c r="E737" s="97"/>
      <c r="F737" s="97"/>
      <c r="G737" s="132"/>
      <c r="H737" s="133"/>
      <c r="I737" s="133"/>
      <c r="J737" s="134"/>
      <c r="K737" s="97"/>
      <c r="L737" s="134"/>
      <c r="M737" s="97"/>
      <c r="N737" s="26">
        <f>SUM(N708:N736)</f>
        <v>666757.48</v>
      </c>
      <c r="O737" s="26">
        <f t="shared" ref="O737:V737" si="96">SUM(O708:O736)</f>
        <v>0</v>
      </c>
      <c r="P737" s="26">
        <f t="shared" si="96"/>
        <v>0</v>
      </c>
      <c r="Q737" s="28"/>
      <c r="R737" s="26">
        <f t="shared" si="96"/>
        <v>5556.0706666666692</v>
      </c>
      <c r="S737" s="26">
        <v>375773.03658333322</v>
      </c>
      <c r="T737" s="26">
        <f t="shared" si="96"/>
        <v>381329.10725000023</v>
      </c>
      <c r="U737" s="26">
        <f t="shared" si="96"/>
        <v>5556.0706666666765</v>
      </c>
      <c r="V737" s="26">
        <f t="shared" si="96"/>
        <v>285428.37274999998</v>
      </c>
      <c r="X737" s="312"/>
      <c r="Y737" s="313"/>
      <c r="Z737" s="114"/>
      <c r="AA737" s="357">
        <f>+Z736+AA736</f>
        <v>61</v>
      </c>
    </row>
    <row r="738" spans="1:27" s="245" customFormat="1" x14ac:dyDescent="0.25">
      <c r="A738" s="22"/>
      <c r="B738" s="97"/>
      <c r="C738" s="97"/>
      <c r="D738" s="97"/>
      <c r="E738" s="97"/>
      <c r="F738" s="97"/>
      <c r="G738" s="132"/>
      <c r="H738" s="133"/>
      <c r="I738" s="133"/>
      <c r="J738" s="134"/>
      <c r="K738" s="97"/>
      <c r="L738" s="134"/>
      <c r="M738" s="97"/>
      <c r="N738" s="28"/>
      <c r="O738" s="28"/>
      <c r="P738" s="28"/>
      <c r="Q738" s="28"/>
      <c r="R738" s="28"/>
      <c r="S738" s="28"/>
      <c r="T738" s="28"/>
      <c r="U738" s="28"/>
      <c r="V738" s="28"/>
      <c r="X738" s="312"/>
      <c r="Y738" s="313"/>
      <c r="Z738" s="114"/>
      <c r="AA738" s="357"/>
    </row>
    <row r="739" spans="1:27" s="245" customFormat="1" x14ac:dyDescent="0.25">
      <c r="A739" s="22" t="s">
        <v>599</v>
      </c>
      <c r="B739" s="97"/>
      <c r="C739" s="97"/>
      <c r="D739" s="97"/>
      <c r="E739" s="97"/>
      <c r="F739" s="97"/>
      <c r="G739" s="132"/>
      <c r="H739" s="133"/>
      <c r="I739" s="133"/>
      <c r="J739" s="134"/>
      <c r="K739" s="97"/>
      <c r="L739" s="97"/>
      <c r="M739" s="97"/>
      <c r="N739" s="29">
        <f>+N737+N706</f>
        <v>5368856.7036387138</v>
      </c>
      <c r="O739" s="29">
        <f t="shared" ref="O739:V739" si="97">+O737+O706</f>
        <v>0</v>
      </c>
      <c r="P739" s="29">
        <f t="shared" si="97"/>
        <v>0</v>
      </c>
      <c r="Q739" s="28"/>
      <c r="R739" s="29">
        <f t="shared" si="97"/>
        <v>28127.605696989318</v>
      </c>
      <c r="S739" s="29">
        <v>4422058.8757554544</v>
      </c>
      <c r="T739" s="29">
        <f t="shared" si="97"/>
        <v>4450186.4814524427</v>
      </c>
      <c r="U739" s="29">
        <f t="shared" si="97"/>
        <v>28127.605696989296</v>
      </c>
      <c r="V739" s="29">
        <f t="shared" si="97"/>
        <v>918670.22218627168</v>
      </c>
      <c r="X739" s="312"/>
      <c r="Y739" s="313"/>
      <c r="Z739" s="114"/>
    </row>
    <row r="740" spans="1:27" s="103" customFormat="1" x14ac:dyDescent="0.25">
      <c r="B740" s="215"/>
      <c r="E740" s="97"/>
      <c r="F740" s="97"/>
      <c r="G740" s="132"/>
      <c r="L740" s="134"/>
      <c r="N740" s="221"/>
      <c r="O740" s="221"/>
      <c r="R740" s="30"/>
      <c r="S740" s="30"/>
      <c r="T740" s="135"/>
      <c r="U740" s="135"/>
      <c r="V740" s="135"/>
      <c r="Y740" s="135"/>
      <c r="Z740" s="114"/>
    </row>
    <row r="741" spans="1:27" s="215" customFormat="1" ht="15.75" customHeight="1" x14ac:dyDescent="0.25">
      <c r="A741" s="235"/>
      <c r="B741" s="236" t="s">
        <v>2203</v>
      </c>
      <c r="E741" s="233"/>
      <c r="F741" s="232" t="s">
        <v>1764</v>
      </c>
      <c r="G741" s="237">
        <v>40557</v>
      </c>
      <c r="J741" s="215">
        <v>2011</v>
      </c>
      <c r="K741" s="215" t="s">
        <v>761</v>
      </c>
      <c r="L741" s="238" t="s">
        <v>2204</v>
      </c>
      <c r="M741" s="215" t="s">
        <v>796</v>
      </c>
      <c r="N741" s="239">
        <v>12080.12</v>
      </c>
      <c r="O741" s="240"/>
      <c r="P741" s="240"/>
      <c r="Q741" s="215">
        <v>10</v>
      </c>
      <c r="R741" s="30">
        <f t="shared" si="86"/>
        <v>100.65933333333334</v>
      </c>
      <c r="S741" s="5">
        <v>5938.9006666666664</v>
      </c>
      <c r="T741" s="313">
        <f>Z741*R741</f>
        <v>6039.56</v>
      </c>
      <c r="U741" s="15">
        <f>T741-S741</f>
        <v>100.65933333333396</v>
      </c>
      <c r="V741" s="135">
        <f t="shared" si="89"/>
        <v>6040.56</v>
      </c>
      <c r="W741" s="238">
        <v>15039</v>
      </c>
      <c r="Y741" s="135"/>
      <c r="Z741" s="114">
        <f t="shared" si="90"/>
        <v>60</v>
      </c>
    </row>
    <row r="742" spans="1:27" s="215" customFormat="1" ht="15.75" customHeight="1" x14ac:dyDescent="0.25">
      <c r="A742" s="235"/>
      <c r="B742" s="196" t="s">
        <v>2205</v>
      </c>
      <c r="E742" s="233"/>
      <c r="F742" s="232" t="s">
        <v>1764</v>
      </c>
      <c r="G742" s="237">
        <v>40557</v>
      </c>
      <c r="J742" s="215">
        <v>2011</v>
      </c>
      <c r="K742" s="215" t="s">
        <v>761</v>
      </c>
      <c r="L742" s="238" t="s">
        <v>2204</v>
      </c>
      <c r="M742" s="215" t="s">
        <v>796</v>
      </c>
      <c r="N742" s="241">
        <v>102040.56</v>
      </c>
      <c r="O742" s="240"/>
      <c r="P742" s="240"/>
      <c r="Q742" s="215">
        <v>10</v>
      </c>
      <c r="R742" s="30">
        <f t="shared" si="86"/>
        <v>850.32966666666664</v>
      </c>
      <c r="S742" s="5">
        <v>50169.450333333334</v>
      </c>
      <c r="T742" s="313">
        <f>Z742*R742</f>
        <v>51019.78</v>
      </c>
      <c r="U742" s="15">
        <f>T742-S742</f>
        <v>850.32966666666471</v>
      </c>
      <c r="V742" s="135">
        <f t="shared" si="89"/>
        <v>51020.78</v>
      </c>
      <c r="W742" s="238">
        <v>15039</v>
      </c>
      <c r="Y742" s="135"/>
      <c r="Z742" s="114">
        <f t="shared" si="90"/>
        <v>60</v>
      </c>
    </row>
    <row r="743" spans="1:27" s="245" customFormat="1" x14ac:dyDescent="0.25">
      <c r="A743" s="363"/>
      <c r="B743" s="196" t="s">
        <v>2206</v>
      </c>
      <c r="E743" s="97"/>
      <c r="F743" s="208" t="s">
        <v>2207</v>
      </c>
      <c r="G743" s="364">
        <v>40571</v>
      </c>
      <c r="J743" s="245">
        <v>2011</v>
      </c>
      <c r="K743" s="245" t="s">
        <v>761</v>
      </c>
      <c r="L743" s="365" t="s">
        <v>2208</v>
      </c>
      <c r="M743" s="245" t="s">
        <v>796</v>
      </c>
      <c r="N743" s="91">
        <v>39252.660000000003</v>
      </c>
      <c r="O743" s="366"/>
      <c r="P743" s="366"/>
      <c r="Q743" s="245">
        <v>10</v>
      </c>
      <c r="R743" s="30">
        <f t="shared" si="86"/>
        <v>327.09716666666668</v>
      </c>
      <c r="S743" s="5">
        <v>19298.732833333335</v>
      </c>
      <c r="T743" s="313">
        <f>Z743*R743</f>
        <v>19625.830000000002</v>
      </c>
      <c r="U743" s="15">
        <f>T743-S743</f>
        <v>327.09716666666645</v>
      </c>
      <c r="V743" s="313">
        <f t="shared" si="89"/>
        <v>19626.830000000002</v>
      </c>
      <c r="W743" s="365">
        <v>15038</v>
      </c>
      <c r="Y743" s="313"/>
      <c r="Z743" s="114">
        <f t="shared" si="90"/>
        <v>60</v>
      </c>
    </row>
    <row r="744" spans="1:27" s="245" customFormat="1" ht="16.5" customHeight="1" x14ac:dyDescent="0.25">
      <c r="A744" s="363"/>
      <c r="B744" s="195" t="s">
        <v>2209</v>
      </c>
      <c r="E744" s="97"/>
      <c r="F744" s="208" t="s">
        <v>1764</v>
      </c>
      <c r="G744" s="364">
        <v>40570</v>
      </c>
      <c r="J744" s="245">
        <v>2011</v>
      </c>
      <c r="K744" s="245" t="s">
        <v>761</v>
      </c>
      <c r="L744" s="365" t="s">
        <v>2210</v>
      </c>
      <c r="M744" s="245" t="s">
        <v>796</v>
      </c>
      <c r="N744" s="91">
        <v>24200.61</v>
      </c>
      <c r="O744" s="366"/>
      <c r="P744" s="366"/>
      <c r="Q744" s="245">
        <v>10</v>
      </c>
      <c r="R744" s="30">
        <f t="shared" si="86"/>
        <v>201.66341666666668</v>
      </c>
      <c r="S744" s="5">
        <v>11898.141583333334</v>
      </c>
      <c r="T744" s="313">
        <f t="shared" ref="T744:T767" si="98">Z744*R744</f>
        <v>12099.805</v>
      </c>
      <c r="U744" s="15">
        <f t="shared" ref="U744:U766" si="99">T744-S744</f>
        <v>201.66341666666631</v>
      </c>
      <c r="V744" s="313">
        <f t="shared" si="89"/>
        <v>12100.805</v>
      </c>
      <c r="W744" s="365">
        <v>15167</v>
      </c>
      <c r="Y744" s="313"/>
      <c r="Z744" s="114">
        <f t="shared" si="90"/>
        <v>60</v>
      </c>
    </row>
    <row r="745" spans="1:27" s="245" customFormat="1" x14ac:dyDescent="0.25">
      <c r="A745" s="363"/>
      <c r="B745" s="195" t="s">
        <v>2211</v>
      </c>
      <c r="E745" s="97"/>
      <c r="F745" s="208" t="s">
        <v>1764</v>
      </c>
      <c r="G745" s="364">
        <v>40570</v>
      </c>
      <c r="J745" s="245">
        <v>2011</v>
      </c>
      <c r="K745" s="245" t="s">
        <v>761</v>
      </c>
      <c r="L745" s="365" t="s">
        <v>2210</v>
      </c>
      <c r="M745" s="245" t="s">
        <v>796</v>
      </c>
      <c r="N745" s="91">
        <v>22656.55</v>
      </c>
      <c r="O745" s="366"/>
      <c r="P745" s="366"/>
      <c r="Q745" s="245">
        <v>10</v>
      </c>
      <c r="R745" s="30">
        <f t="shared" si="86"/>
        <v>188.79624999999999</v>
      </c>
      <c r="S745" s="5">
        <v>11138.978749999998</v>
      </c>
      <c r="T745" s="313">
        <f t="shared" si="98"/>
        <v>11327.775</v>
      </c>
      <c r="U745" s="15">
        <f t="shared" si="99"/>
        <v>188.79625000000124</v>
      </c>
      <c r="V745" s="313">
        <f t="shared" si="89"/>
        <v>11328.775</v>
      </c>
      <c r="W745" s="365">
        <v>15167</v>
      </c>
      <c r="Y745" s="313"/>
      <c r="Z745" s="114">
        <f t="shared" si="90"/>
        <v>60</v>
      </c>
    </row>
    <row r="746" spans="1:27" s="245" customFormat="1" x14ac:dyDescent="0.25">
      <c r="A746" s="363"/>
      <c r="B746" s="195" t="s">
        <v>2212</v>
      </c>
      <c r="E746" s="97"/>
      <c r="F746" s="208" t="s">
        <v>1764</v>
      </c>
      <c r="G746" s="364">
        <v>40570</v>
      </c>
      <c r="J746" s="245">
        <v>2011</v>
      </c>
      <c r="K746" s="245" t="s">
        <v>761</v>
      </c>
      <c r="L746" s="365" t="s">
        <v>2210</v>
      </c>
      <c r="M746" s="245" t="s">
        <v>796</v>
      </c>
      <c r="N746" s="91">
        <v>23554.74</v>
      </c>
      <c r="O746" s="366"/>
      <c r="P746" s="366"/>
      <c r="Q746" s="245">
        <v>10</v>
      </c>
      <c r="R746" s="30">
        <f t="shared" si="86"/>
        <v>196.28116666666668</v>
      </c>
      <c r="S746" s="5">
        <v>11580.588833333333</v>
      </c>
      <c r="T746" s="313">
        <f t="shared" si="98"/>
        <v>11776.87</v>
      </c>
      <c r="U746" s="15">
        <f t="shared" si="99"/>
        <v>196.28116666666756</v>
      </c>
      <c r="V746" s="313">
        <f t="shared" si="89"/>
        <v>11777.87</v>
      </c>
      <c r="W746" s="365">
        <v>15167</v>
      </c>
      <c r="Y746" s="313"/>
      <c r="Z746" s="114">
        <f t="shared" si="90"/>
        <v>60</v>
      </c>
    </row>
    <row r="747" spans="1:27" s="245" customFormat="1" ht="15" customHeight="1" x14ac:dyDescent="0.25">
      <c r="A747" s="363"/>
      <c r="B747" s="195" t="s">
        <v>2213</v>
      </c>
      <c r="E747" s="97"/>
      <c r="F747" s="208" t="s">
        <v>1764</v>
      </c>
      <c r="G747" s="364">
        <v>40570</v>
      </c>
      <c r="J747" s="245">
        <v>2011</v>
      </c>
      <c r="K747" s="245" t="s">
        <v>761</v>
      </c>
      <c r="L747" s="365" t="s">
        <v>2210</v>
      </c>
      <c r="M747" s="245" t="s">
        <v>796</v>
      </c>
      <c r="N747" s="91">
        <v>16674.16</v>
      </c>
      <c r="O747" s="366"/>
      <c r="P747" s="366"/>
      <c r="Q747" s="245">
        <v>10</v>
      </c>
      <c r="R747" s="30">
        <f t="shared" si="86"/>
        <v>138.94300000000001</v>
      </c>
      <c r="S747" s="5">
        <v>8197.6370000000006</v>
      </c>
      <c r="T747" s="313">
        <f t="shared" si="98"/>
        <v>8336.58</v>
      </c>
      <c r="U747" s="15">
        <f t="shared" si="99"/>
        <v>138.9429999999993</v>
      </c>
      <c r="V747" s="313">
        <f t="shared" si="89"/>
        <v>8337.58</v>
      </c>
      <c r="W747" s="365">
        <v>15167</v>
      </c>
      <c r="Y747" s="313"/>
      <c r="Z747" s="114">
        <f t="shared" si="90"/>
        <v>60</v>
      </c>
    </row>
    <row r="748" spans="1:27" s="245" customFormat="1" x14ac:dyDescent="0.25">
      <c r="A748" s="363"/>
      <c r="B748" s="195" t="s">
        <v>2214</v>
      </c>
      <c r="E748" s="97"/>
      <c r="F748" s="208" t="s">
        <v>1764</v>
      </c>
      <c r="G748" s="364">
        <v>40584</v>
      </c>
      <c r="J748" s="245">
        <v>2011</v>
      </c>
      <c r="K748" s="245" t="s">
        <v>761</v>
      </c>
      <c r="L748" s="365" t="s">
        <v>2215</v>
      </c>
      <c r="M748" s="245" t="s">
        <v>796</v>
      </c>
      <c r="N748" s="91">
        <v>22192.31</v>
      </c>
      <c r="O748" s="366"/>
      <c r="P748" s="366"/>
      <c r="Q748" s="245">
        <v>10</v>
      </c>
      <c r="R748" s="30">
        <f t="shared" si="86"/>
        <v>184.92758333333336</v>
      </c>
      <c r="S748" s="5">
        <v>10725.799833333334</v>
      </c>
      <c r="T748" s="313">
        <f t="shared" si="98"/>
        <v>10910.727416666668</v>
      </c>
      <c r="U748" s="15">
        <f t="shared" si="99"/>
        <v>184.92758333333404</v>
      </c>
      <c r="V748" s="313">
        <f t="shared" si="89"/>
        <v>11281.582583333333</v>
      </c>
      <c r="W748" s="365">
        <v>15167</v>
      </c>
      <c r="Y748" s="313"/>
      <c r="Z748" s="114">
        <f t="shared" si="90"/>
        <v>59</v>
      </c>
    </row>
    <row r="749" spans="1:27" s="245" customFormat="1" x14ac:dyDescent="0.25">
      <c r="A749" s="363"/>
      <c r="B749" s="195" t="s">
        <v>2216</v>
      </c>
      <c r="E749" s="97"/>
      <c r="F749" s="208" t="s">
        <v>1764</v>
      </c>
      <c r="G749" s="364">
        <v>40584</v>
      </c>
      <c r="J749" s="245">
        <v>2011</v>
      </c>
      <c r="K749" s="245" t="s">
        <v>761</v>
      </c>
      <c r="L749" s="365" t="s">
        <v>2215</v>
      </c>
      <c r="M749" s="245" t="s">
        <v>796</v>
      </c>
      <c r="N749" s="91">
        <v>6529.52</v>
      </c>
      <c r="O749" s="366"/>
      <c r="P749" s="366"/>
      <c r="Q749" s="245">
        <v>10</v>
      </c>
      <c r="R749" s="30">
        <f t="shared" si="86"/>
        <v>54.404333333333341</v>
      </c>
      <c r="S749" s="5">
        <v>3155.4513333333339</v>
      </c>
      <c r="T749" s="313">
        <f t="shared" si="98"/>
        <v>3209.8556666666673</v>
      </c>
      <c r="U749" s="15">
        <f t="shared" si="99"/>
        <v>54.404333333333398</v>
      </c>
      <c r="V749" s="313">
        <f t="shared" si="89"/>
        <v>3319.6643333333332</v>
      </c>
      <c r="W749" s="365">
        <v>15167</v>
      </c>
      <c r="Y749" s="313"/>
      <c r="Z749" s="114">
        <f t="shared" si="90"/>
        <v>59</v>
      </c>
    </row>
    <row r="750" spans="1:27" s="245" customFormat="1" x14ac:dyDescent="0.25">
      <c r="A750" s="363"/>
      <c r="B750" s="195" t="s">
        <v>2217</v>
      </c>
      <c r="E750" s="97"/>
      <c r="F750" s="208" t="s">
        <v>1764</v>
      </c>
      <c r="G750" s="364">
        <v>40584</v>
      </c>
      <c r="J750" s="245">
        <v>2011</v>
      </c>
      <c r="K750" s="245" t="s">
        <v>761</v>
      </c>
      <c r="L750" s="365" t="s">
        <v>2215</v>
      </c>
      <c r="M750" s="245" t="s">
        <v>796</v>
      </c>
      <c r="N750" s="91">
        <v>8976.83</v>
      </c>
      <c r="O750" s="366"/>
      <c r="P750" s="366"/>
      <c r="Q750" s="245">
        <v>10</v>
      </c>
      <c r="R750" s="30">
        <f t="shared" si="86"/>
        <v>74.798583333333326</v>
      </c>
      <c r="S750" s="5">
        <v>4338.3178333333326</v>
      </c>
      <c r="T750" s="313">
        <f t="shared" si="98"/>
        <v>4413.1164166666658</v>
      </c>
      <c r="U750" s="15">
        <f t="shared" si="99"/>
        <v>74.798583333333227</v>
      </c>
      <c r="V750" s="313">
        <f t="shared" si="89"/>
        <v>4563.7135833333341</v>
      </c>
      <c r="W750" s="365">
        <v>15167</v>
      </c>
      <c r="Y750" s="313"/>
      <c r="Z750" s="114">
        <f t="shared" si="90"/>
        <v>59</v>
      </c>
    </row>
    <row r="751" spans="1:27" s="245" customFormat="1" x14ac:dyDescent="0.25">
      <c r="B751" s="195" t="s">
        <v>2218</v>
      </c>
      <c r="E751" s="210"/>
      <c r="F751" s="208" t="s">
        <v>1764</v>
      </c>
      <c r="G751" s="132" t="str">
        <f>CONCATENATE(H751,"/",I751,"/",J751,)</f>
        <v>10/2/2011</v>
      </c>
      <c r="H751" s="201">
        <v>10</v>
      </c>
      <c r="I751" s="201">
        <v>2</v>
      </c>
      <c r="J751" s="201">
        <v>2011</v>
      </c>
      <c r="K751" s="245" t="s">
        <v>761</v>
      </c>
      <c r="L751" s="365" t="s">
        <v>2215</v>
      </c>
      <c r="M751" s="245" t="s">
        <v>796</v>
      </c>
      <c r="N751" s="91">
        <v>17837.62</v>
      </c>
      <c r="O751" s="358"/>
      <c r="Q751" s="245">
        <v>10</v>
      </c>
      <c r="R751" s="30">
        <f t="shared" si="86"/>
        <v>148.63849999999999</v>
      </c>
      <c r="S751" s="5">
        <v>8621.0329999999994</v>
      </c>
      <c r="T751" s="313">
        <f t="shared" si="98"/>
        <v>8769.6715000000004</v>
      </c>
      <c r="U751" s="15">
        <f t="shared" si="99"/>
        <v>148.63850000000093</v>
      </c>
      <c r="V751" s="313">
        <f t="shared" si="89"/>
        <v>9067.9484999999986</v>
      </c>
      <c r="W751" s="365">
        <v>15167</v>
      </c>
      <c r="Y751" s="313"/>
      <c r="Z751" s="114">
        <f t="shared" si="90"/>
        <v>59</v>
      </c>
    </row>
    <row r="752" spans="1:27" s="245" customFormat="1" x14ac:dyDescent="0.25">
      <c r="B752" s="196" t="s">
        <v>2219</v>
      </c>
      <c r="E752" s="210"/>
      <c r="F752" s="208" t="s">
        <v>2220</v>
      </c>
      <c r="G752" s="132" t="str">
        <f>CONCATENATE(H752,"/",I752,"/",J752,)</f>
        <v>22/3/2011</v>
      </c>
      <c r="H752" s="201">
        <v>22</v>
      </c>
      <c r="I752" s="201">
        <v>3</v>
      </c>
      <c r="J752" s="201">
        <v>2011</v>
      </c>
      <c r="K752" s="245" t="s">
        <v>761</v>
      </c>
      <c r="L752" s="365" t="s">
        <v>2221</v>
      </c>
      <c r="M752" s="245" t="s">
        <v>796</v>
      </c>
      <c r="N752" s="91">
        <v>5195</v>
      </c>
      <c r="Q752" s="245">
        <v>10</v>
      </c>
      <c r="R752" s="30">
        <f t="shared" si="86"/>
        <v>43.283333333333331</v>
      </c>
      <c r="S752" s="5">
        <v>2467.15</v>
      </c>
      <c r="T752" s="313">
        <f t="shared" si="98"/>
        <v>2510.4333333333334</v>
      </c>
      <c r="U752" s="15">
        <f t="shared" si="99"/>
        <v>43.283333333333303</v>
      </c>
      <c r="V752" s="313">
        <f t="shared" si="89"/>
        <v>2684.5666666666666</v>
      </c>
      <c r="W752" s="365">
        <v>15291</v>
      </c>
      <c r="Y752" s="313"/>
      <c r="Z752" s="114">
        <f t="shared" si="90"/>
        <v>58</v>
      </c>
    </row>
    <row r="753" spans="1:26" s="245" customFormat="1" x14ac:dyDescent="0.25">
      <c r="B753" s="195" t="s">
        <v>2222</v>
      </c>
      <c r="C753" s="97"/>
      <c r="D753" s="97"/>
      <c r="E753" s="134" t="s">
        <v>2223</v>
      </c>
      <c r="F753" s="97" t="s">
        <v>2224</v>
      </c>
      <c r="G753" s="132" t="str">
        <f>CONCATENATE(H753,"/",I753,"/",J753,)</f>
        <v>25/3/2011</v>
      </c>
      <c r="H753" s="100">
        <v>25</v>
      </c>
      <c r="I753" s="100">
        <v>3</v>
      </c>
      <c r="J753" s="201">
        <v>2011</v>
      </c>
      <c r="K753" s="245" t="s">
        <v>761</v>
      </c>
      <c r="L753" s="365" t="s">
        <v>2225</v>
      </c>
      <c r="M753" s="245" t="s">
        <v>796</v>
      </c>
      <c r="N753" s="557">
        <v>7994.98</v>
      </c>
      <c r="O753" s="311"/>
      <c r="Q753" s="245">
        <v>10</v>
      </c>
      <c r="R753" s="30">
        <f t="shared" si="86"/>
        <v>66.616499999999988</v>
      </c>
      <c r="S753" s="5">
        <v>3797.1404999999995</v>
      </c>
      <c r="T753" s="313">
        <f t="shared" si="98"/>
        <v>3863.7569999999992</v>
      </c>
      <c r="U753" s="15">
        <f t="shared" si="99"/>
        <v>66.616499999999633</v>
      </c>
      <c r="V753" s="313">
        <f t="shared" si="89"/>
        <v>4131.223</v>
      </c>
      <c r="W753" s="558">
        <v>15308</v>
      </c>
      <c r="Y753" s="313"/>
      <c r="Z753" s="114">
        <f t="shared" si="90"/>
        <v>58</v>
      </c>
    </row>
    <row r="754" spans="1:26" s="245" customFormat="1" x14ac:dyDescent="0.25">
      <c r="B754" s="195" t="s">
        <v>2226</v>
      </c>
      <c r="C754" s="97"/>
      <c r="D754" s="97"/>
      <c r="E754" s="134" t="s">
        <v>2227</v>
      </c>
      <c r="F754" s="97" t="s">
        <v>563</v>
      </c>
      <c r="G754" s="132" t="str">
        <f>CONCATENATE(H754,"/",I754,"/",J754,)</f>
        <v>1/4/2011</v>
      </c>
      <c r="H754" s="100">
        <v>1</v>
      </c>
      <c r="I754" s="100">
        <v>4</v>
      </c>
      <c r="J754" s="201">
        <v>2011</v>
      </c>
      <c r="K754" s="245" t="s">
        <v>761</v>
      </c>
      <c r="L754" s="365" t="s">
        <v>2228</v>
      </c>
      <c r="M754" s="245" t="s">
        <v>796</v>
      </c>
      <c r="N754" s="557">
        <v>8995</v>
      </c>
      <c r="O754" s="311"/>
      <c r="Q754" s="245">
        <v>10</v>
      </c>
      <c r="R754" s="30">
        <f t="shared" si="86"/>
        <v>74.95</v>
      </c>
      <c r="S754" s="5">
        <v>4197.2</v>
      </c>
      <c r="T754" s="313">
        <f t="shared" si="98"/>
        <v>4272.1500000000005</v>
      </c>
      <c r="U754" s="15">
        <f t="shared" si="99"/>
        <v>74.950000000000728</v>
      </c>
      <c r="V754" s="313">
        <f t="shared" si="89"/>
        <v>4722.8499999999995</v>
      </c>
      <c r="W754" s="558">
        <v>15408</v>
      </c>
      <c r="Y754" s="313"/>
      <c r="Z754" s="114">
        <f t="shared" si="90"/>
        <v>57</v>
      </c>
    </row>
    <row r="755" spans="1:26" s="245" customFormat="1" x14ac:dyDescent="0.25">
      <c r="A755" s="97"/>
      <c r="B755" s="195" t="s">
        <v>2229</v>
      </c>
      <c r="C755" s="97"/>
      <c r="D755" s="97"/>
      <c r="E755" s="97"/>
      <c r="F755" s="208" t="s">
        <v>2230</v>
      </c>
      <c r="G755" s="132" t="str">
        <f>CONCATENATE(H755,"/",I755,"/",J755,)</f>
        <v>20/5/2011</v>
      </c>
      <c r="H755" s="100">
        <v>20</v>
      </c>
      <c r="I755" s="100">
        <v>5</v>
      </c>
      <c r="J755" s="201">
        <v>2011</v>
      </c>
      <c r="K755" s="245" t="s">
        <v>761</v>
      </c>
      <c r="L755" s="558" t="s">
        <v>2231</v>
      </c>
      <c r="M755" s="245" t="s">
        <v>796</v>
      </c>
      <c r="N755" s="557">
        <v>56091.5</v>
      </c>
      <c r="O755" s="311"/>
      <c r="Q755" s="245">
        <v>10</v>
      </c>
      <c r="R755" s="30">
        <f t="shared" si="86"/>
        <v>467.42083333333335</v>
      </c>
      <c r="S755" s="5">
        <v>25708.145833333336</v>
      </c>
      <c r="T755" s="313">
        <f t="shared" si="98"/>
        <v>26175.566666666666</v>
      </c>
      <c r="U755" s="15">
        <f t="shared" si="99"/>
        <v>467.42083333332994</v>
      </c>
      <c r="V755" s="313">
        <f t="shared" si="89"/>
        <v>29915.933333333334</v>
      </c>
      <c r="W755" s="558">
        <v>15607</v>
      </c>
      <c r="Y755" s="313"/>
      <c r="Z755" s="114">
        <f t="shared" si="90"/>
        <v>56</v>
      </c>
    </row>
    <row r="756" spans="1:26" s="245" customFormat="1" x14ac:dyDescent="0.25">
      <c r="A756" s="97"/>
      <c r="B756" s="195" t="s">
        <v>2847</v>
      </c>
      <c r="C756" s="97" t="s">
        <v>2845</v>
      </c>
      <c r="D756" s="97" t="s">
        <v>2846</v>
      </c>
      <c r="E756" s="97"/>
      <c r="F756" s="208" t="s">
        <v>2232</v>
      </c>
      <c r="G756" s="132">
        <v>40738</v>
      </c>
      <c r="H756" s="100">
        <v>14</v>
      </c>
      <c r="I756" s="100">
        <v>7</v>
      </c>
      <c r="J756" s="201">
        <v>2011</v>
      </c>
      <c r="K756" s="245" t="s">
        <v>761</v>
      </c>
      <c r="L756" s="558" t="s">
        <v>2233</v>
      </c>
      <c r="M756" s="245" t="s">
        <v>796</v>
      </c>
      <c r="N756" s="557">
        <v>43938.48</v>
      </c>
      <c r="O756" s="311"/>
      <c r="Q756" s="245">
        <v>10</v>
      </c>
      <c r="R756" s="30">
        <f t="shared" si="86"/>
        <v>366.14566666666673</v>
      </c>
      <c r="S756" s="5">
        <v>19405.720333333338</v>
      </c>
      <c r="T756" s="313">
        <f t="shared" si="98"/>
        <v>19771.866000000002</v>
      </c>
      <c r="U756" s="15">
        <f t="shared" si="99"/>
        <v>366.1456666666636</v>
      </c>
      <c r="V756" s="313">
        <f t="shared" si="89"/>
        <v>24166.614000000001</v>
      </c>
      <c r="W756" s="558"/>
      <c r="Y756" s="313"/>
      <c r="Z756" s="114">
        <f t="shared" si="90"/>
        <v>54</v>
      </c>
    </row>
    <row r="757" spans="1:26" s="245" customFormat="1" x14ac:dyDescent="0.25">
      <c r="A757" s="97"/>
      <c r="B757" s="195" t="s">
        <v>2234</v>
      </c>
      <c r="C757" s="97"/>
      <c r="D757" s="97"/>
      <c r="E757" s="97"/>
      <c r="F757" s="208" t="s">
        <v>2235</v>
      </c>
      <c r="G757" s="132" t="str">
        <f t="shared" ref="G757:G762" si="100">CONCATENATE(H757,"/",I757,"/",J757,)</f>
        <v>23/8/2011</v>
      </c>
      <c r="H757" s="100">
        <v>23</v>
      </c>
      <c r="I757" s="100">
        <v>8</v>
      </c>
      <c r="J757" s="201">
        <v>2011</v>
      </c>
      <c r="K757" s="245" t="s">
        <v>761</v>
      </c>
      <c r="L757" s="365" t="s">
        <v>2236</v>
      </c>
      <c r="M757" s="245" t="s">
        <v>796</v>
      </c>
      <c r="N757" s="557">
        <v>3995</v>
      </c>
      <c r="O757" s="311"/>
      <c r="Q757" s="245">
        <v>10</v>
      </c>
      <c r="R757" s="30">
        <f t="shared" si="86"/>
        <v>33.283333333333331</v>
      </c>
      <c r="S757" s="5">
        <v>1730.7333333333331</v>
      </c>
      <c r="T757" s="313">
        <f t="shared" si="98"/>
        <v>1764.0166666666667</v>
      </c>
      <c r="U757" s="15">
        <f t="shared" si="99"/>
        <v>33.28333333333353</v>
      </c>
      <c r="V757" s="313">
        <f t="shared" si="89"/>
        <v>2230.9833333333336</v>
      </c>
      <c r="W757" s="365">
        <v>16105</v>
      </c>
      <c r="Y757" s="313"/>
      <c r="Z757" s="114">
        <f t="shared" si="90"/>
        <v>53</v>
      </c>
    </row>
    <row r="758" spans="1:26" s="245" customFormat="1" x14ac:dyDescent="0.25">
      <c r="A758" s="97"/>
      <c r="B758" s="195" t="s">
        <v>2237</v>
      </c>
      <c r="C758" s="97"/>
      <c r="D758" s="97"/>
      <c r="E758" s="97"/>
      <c r="F758" s="208" t="s">
        <v>2235</v>
      </c>
      <c r="G758" s="132" t="str">
        <f t="shared" si="100"/>
        <v>23/8/2011</v>
      </c>
      <c r="H758" s="100">
        <v>23</v>
      </c>
      <c r="I758" s="100">
        <v>8</v>
      </c>
      <c r="J758" s="201">
        <v>2011</v>
      </c>
      <c r="K758" s="245" t="s">
        <v>761</v>
      </c>
      <c r="L758" s="365" t="s">
        <v>2236</v>
      </c>
      <c r="M758" s="245" t="s">
        <v>796</v>
      </c>
      <c r="N758" s="557">
        <v>3795</v>
      </c>
      <c r="O758" s="311"/>
      <c r="Q758" s="245">
        <v>10</v>
      </c>
      <c r="R758" s="30">
        <f t="shared" si="86"/>
        <v>31.616666666666664</v>
      </c>
      <c r="S758" s="5">
        <v>1644.0666666666666</v>
      </c>
      <c r="T758" s="313">
        <f t="shared" si="98"/>
        <v>1675.6833333333332</v>
      </c>
      <c r="U758" s="15">
        <f t="shared" si="99"/>
        <v>31.616666666666561</v>
      </c>
      <c r="V758" s="313">
        <f t="shared" si="89"/>
        <v>2119.3166666666666</v>
      </c>
      <c r="W758" s="365">
        <v>16105</v>
      </c>
      <c r="Y758" s="313"/>
      <c r="Z758" s="114">
        <f t="shared" si="90"/>
        <v>53</v>
      </c>
    </row>
    <row r="759" spans="1:26" s="245" customFormat="1" x14ac:dyDescent="0.25">
      <c r="A759" s="97"/>
      <c r="B759" s="195" t="s">
        <v>2238</v>
      </c>
      <c r="C759" s="97"/>
      <c r="D759" s="97"/>
      <c r="E759" s="97"/>
      <c r="F759" s="208" t="s">
        <v>2235</v>
      </c>
      <c r="G759" s="132" t="str">
        <f t="shared" si="100"/>
        <v>7/9/2011</v>
      </c>
      <c r="H759" s="100">
        <v>7</v>
      </c>
      <c r="I759" s="100">
        <v>9</v>
      </c>
      <c r="J759" s="201">
        <v>2011</v>
      </c>
      <c r="K759" s="245" t="s">
        <v>761</v>
      </c>
      <c r="L759" s="365" t="s">
        <v>2239</v>
      </c>
      <c r="M759" s="245" t="s">
        <v>796</v>
      </c>
      <c r="N759" s="557">
        <v>1595</v>
      </c>
      <c r="O759" s="311"/>
      <c r="Q759" s="245">
        <v>10</v>
      </c>
      <c r="R759" s="30">
        <f t="shared" si="86"/>
        <v>13.283333333333333</v>
      </c>
      <c r="S759" s="5">
        <v>677.45</v>
      </c>
      <c r="T759" s="313">
        <f t="shared" si="98"/>
        <v>690.73333333333335</v>
      </c>
      <c r="U759" s="15">
        <f t="shared" si="99"/>
        <v>13.283333333333303</v>
      </c>
      <c r="V759" s="313">
        <f t="shared" si="89"/>
        <v>904.26666666666665</v>
      </c>
      <c r="W759" s="365">
        <v>16236</v>
      </c>
      <c r="Y759" s="313"/>
      <c r="Z759" s="114">
        <f t="shared" si="90"/>
        <v>52</v>
      </c>
    </row>
    <row r="760" spans="1:26" s="245" customFormat="1" x14ac:dyDescent="0.25">
      <c r="A760" s="97"/>
      <c r="B760" s="195" t="s">
        <v>2240</v>
      </c>
      <c r="C760" s="97"/>
      <c r="D760" s="97"/>
      <c r="E760" s="97"/>
      <c r="F760" s="208" t="s">
        <v>2235</v>
      </c>
      <c r="G760" s="132" t="str">
        <f t="shared" si="100"/>
        <v>7/9/2011</v>
      </c>
      <c r="H760" s="100">
        <v>7</v>
      </c>
      <c r="I760" s="100">
        <v>9</v>
      </c>
      <c r="J760" s="201">
        <v>2011</v>
      </c>
      <c r="K760" s="245" t="s">
        <v>761</v>
      </c>
      <c r="L760" s="365" t="s">
        <v>2241</v>
      </c>
      <c r="M760" s="245" t="s">
        <v>796</v>
      </c>
      <c r="N760" s="557">
        <v>1595</v>
      </c>
      <c r="O760" s="311"/>
      <c r="Q760" s="245">
        <v>10</v>
      </c>
      <c r="R760" s="30">
        <f t="shared" si="86"/>
        <v>13.283333333333333</v>
      </c>
      <c r="S760" s="5">
        <v>677.45</v>
      </c>
      <c r="T760" s="313">
        <f t="shared" si="98"/>
        <v>690.73333333333335</v>
      </c>
      <c r="U760" s="15">
        <f t="shared" si="99"/>
        <v>13.283333333333303</v>
      </c>
      <c r="V760" s="313">
        <f t="shared" si="89"/>
        <v>904.26666666666665</v>
      </c>
      <c r="W760" s="365">
        <v>16236</v>
      </c>
      <c r="Y760" s="313"/>
      <c r="Z760" s="114">
        <f t="shared" si="90"/>
        <v>52</v>
      </c>
    </row>
    <row r="761" spans="1:26" s="245" customFormat="1" x14ac:dyDescent="0.25">
      <c r="A761" s="97"/>
      <c r="B761" s="195" t="s">
        <v>2242</v>
      </c>
      <c r="C761" s="97"/>
      <c r="D761" s="97"/>
      <c r="E761" s="97"/>
      <c r="F761" s="208" t="s">
        <v>2243</v>
      </c>
      <c r="G761" s="132" t="str">
        <f t="shared" si="100"/>
        <v>7/9/2011</v>
      </c>
      <c r="H761" s="100">
        <v>7</v>
      </c>
      <c r="I761" s="100">
        <v>9</v>
      </c>
      <c r="J761" s="201">
        <v>2011</v>
      </c>
      <c r="K761" s="245" t="s">
        <v>761</v>
      </c>
      <c r="L761" s="365" t="s">
        <v>2244</v>
      </c>
      <c r="M761" s="245" t="s">
        <v>796</v>
      </c>
      <c r="N761" s="557">
        <v>18560</v>
      </c>
      <c r="O761" s="311"/>
      <c r="Q761" s="245">
        <v>10</v>
      </c>
      <c r="R761" s="30">
        <f t="shared" ref="R761:R767" si="101">(((N761)-1)/10)/12</f>
        <v>154.65833333333333</v>
      </c>
      <c r="S761" s="5">
        <v>7887.5749999999998</v>
      </c>
      <c r="T761" s="313">
        <f t="shared" si="98"/>
        <v>8042.2333333333336</v>
      </c>
      <c r="U761" s="15">
        <f t="shared" si="99"/>
        <v>154.65833333333376</v>
      </c>
      <c r="V761" s="313">
        <f t="shared" ref="V761:V768" si="102">N761-T761</f>
        <v>10517.766666666666</v>
      </c>
      <c r="W761" s="365">
        <v>16048</v>
      </c>
      <c r="Y761" s="313"/>
      <c r="Z761" s="114">
        <f t="shared" ref="Z761:Z767" si="103">IF((DATEDIF(G761,Z$4,"m"))&gt;=120,120,(DATEDIF(G761,Z$4,"m")))</f>
        <v>52</v>
      </c>
    </row>
    <row r="762" spans="1:26" s="245" customFormat="1" x14ac:dyDescent="0.25">
      <c r="A762" s="97"/>
      <c r="B762" s="195" t="s">
        <v>2245</v>
      </c>
      <c r="C762" s="97"/>
      <c r="D762" s="97"/>
      <c r="E762" s="97"/>
      <c r="F762" s="208" t="s">
        <v>2243</v>
      </c>
      <c r="G762" s="132" t="str">
        <f t="shared" si="100"/>
        <v>7/9/2011</v>
      </c>
      <c r="H762" s="100">
        <v>7</v>
      </c>
      <c r="I762" s="100">
        <v>9</v>
      </c>
      <c r="J762" s="201">
        <v>2011</v>
      </c>
      <c r="K762" s="245" t="s">
        <v>761</v>
      </c>
      <c r="L762" s="365" t="s">
        <v>2244</v>
      </c>
      <c r="M762" s="245" t="s">
        <v>796</v>
      </c>
      <c r="N762" s="557">
        <v>9744</v>
      </c>
      <c r="O762" s="311"/>
      <c r="Q762" s="245">
        <v>10</v>
      </c>
      <c r="R762" s="30">
        <f t="shared" si="101"/>
        <v>81.191666666666663</v>
      </c>
      <c r="S762" s="5">
        <v>4140.7749999999996</v>
      </c>
      <c r="T762" s="313">
        <f t="shared" si="98"/>
        <v>4221.9666666666662</v>
      </c>
      <c r="U762" s="15">
        <f t="shared" si="99"/>
        <v>81.191666666666606</v>
      </c>
      <c r="V762" s="313">
        <f t="shared" si="102"/>
        <v>5522.0333333333338</v>
      </c>
      <c r="W762" s="365">
        <v>16048</v>
      </c>
      <c r="Y762" s="313"/>
      <c r="Z762" s="114">
        <f t="shared" si="103"/>
        <v>52</v>
      </c>
    </row>
    <row r="763" spans="1:26" s="245" customFormat="1" x14ac:dyDescent="0.25">
      <c r="A763" s="97"/>
      <c r="B763" s="195" t="s">
        <v>2844</v>
      </c>
      <c r="C763" s="97" t="s">
        <v>2473</v>
      </c>
      <c r="D763" s="97"/>
      <c r="E763" s="97"/>
      <c r="F763" s="208" t="s">
        <v>2246</v>
      </c>
      <c r="G763" s="132">
        <v>40820</v>
      </c>
      <c r="H763" s="100">
        <v>4</v>
      </c>
      <c r="I763" s="100">
        <v>10</v>
      </c>
      <c r="J763" s="201">
        <v>2011</v>
      </c>
      <c r="K763" s="245" t="s">
        <v>761</v>
      </c>
      <c r="L763" s="365" t="s">
        <v>2247</v>
      </c>
      <c r="M763" s="245" t="s">
        <v>796</v>
      </c>
      <c r="N763" s="557">
        <f>82600+13216</f>
        <v>95816</v>
      </c>
      <c r="O763" s="311"/>
      <c r="Q763" s="245">
        <v>10</v>
      </c>
      <c r="R763" s="30">
        <f t="shared" si="101"/>
        <v>798.45833333333337</v>
      </c>
      <c r="S763" s="5">
        <v>39922.916666666672</v>
      </c>
      <c r="T763" s="313">
        <f t="shared" si="98"/>
        <v>40721.375</v>
      </c>
      <c r="U763" s="15">
        <f t="shared" si="99"/>
        <v>798.45833333332848</v>
      </c>
      <c r="V763" s="313">
        <f t="shared" si="102"/>
        <v>55094.625</v>
      </c>
      <c r="W763" s="365"/>
      <c r="Y763" s="313"/>
      <c r="Z763" s="114">
        <f t="shared" si="103"/>
        <v>51</v>
      </c>
    </row>
    <row r="764" spans="1:26" s="215" customFormat="1" ht="15" customHeight="1" x14ac:dyDescent="0.25">
      <c r="A764" s="233"/>
      <c r="B764" s="310" t="s">
        <v>2248</v>
      </c>
      <c r="C764" s="233"/>
      <c r="D764" s="233"/>
      <c r="E764" s="232"/>
      <c r="F764" s="233" t="s">
        <v>2249</v>
      </c>
      <c r="G764" s="242" t="str">
        <f>CONCATENATE(H764,"/",I764,"/",J764,)</f>
        <v>4/10/2011</v>
      </c>
      <c r="H764" s="246">
        <v>4</v>
      </c>
      <c r="I764" s="246">
        <v>10</v>
      </c>
      <c r="J764" s="243">
        <v>2011</v>
      </c>
      <c r="K764" s="215" t="s">
        <v>761</v>
      </c>
      <c r="L764" s="238" t="s">
        <v>2250</v>
      </c>
      <c r="M764" s="215" t="s">
        <v>796</v>
      </c>
      <c r="N764" s="247">
        <v>5379.04</v>
      </c>
      <c r="O764" s="147"/>
      <c r="Q764" s="215">
        <v>10</v>
      </c>
      <c r="R764" s="308">
        <f t="shared" si="101"/>
        <v>44.817</v>
      </c>
      <c r="S764" s="5">
        <v>2240.85</v>
      </c>
      <c r="T764" s="313">
        <f t="shared" si="98"/>
        <v>2285.6669999999999</v>
      </c>
      <c r="U764" s="15">
        <f t="shared" si="99"/>
        <v>44.817000000000007</v>
      </c>
      <c r="V764" s="244">
        <f t="shared" si="102"/>
        <v>3093.373</v>
      </c>
      <c r="W764" s="238">
        <v>16181</v>
      </c>
      <c r="Y764" s="244"/>
      <c r="Z764" s="309">
        <f t="shared" si="103"/>
        <v>51</v>
      </c>
    </row>
    <row r="765" spans="1:26" s="215" customFormat="1" ht="15" customHeight="1" x14ac:dyDescent="0.25">
      <c r="A765" s="233"/>
      <c r="B765" s="310" t="s">
        <v>2251</v>
      </c>
      <c r="C765" s="233"/>
      <c r="D765" s="233"/>
      <c r="E765" s="232"/>
      <c r="F765" s="233" t="s">
        <v>2249</v>
      </c>
      <c r="G765" s="242" t="str">
        <f>CONCATENATE(H765,"/",I765,"/",J765,)</f>
        <v>4/10/2011</v>
      </c>
      <c r="H765" s="246">
        <v>4</v>
      </c>
      <c r="I765" s="246">
        <v>10</v>
      </c>
      <c r="J765" s="243">
        <v>2011</v>
      </c>
      <c r="K765" s="215" t="s">
        <v>761</v>
      </c>
      <c r="L765" s="238" t="s">
        <v>2250</v>
      </c>
      <c r="M765" s="215" t="s">
        <v>796</v>
      </c>
      <c r="N765" s="247">
        <v>1976.01</v>
      </c>
      <c r="O765" s="147"/>
      <c r="Q765" s="215">
        <v>10</v>
      </c>
      <c r="R765" s="308">
        <f t="shared" si="101"/>
        <v>16.458416666666668</v>
      </c>
      <c r="S765" s="5">
        <v>822.92083333333346</v>
      </c>
      <c r="T765" s="313">
        <f t="shared" si="98"/>
        <v>839.37925000000007</v>
      </c>
      <c r="U765" s="15">
        <f t="shared" si="99"/>
        <v>16.458416666666608</v>
      </c>
      <c r="V765" s="244">
        <f t="shared" si="102"/>
        <v>1136.6307499999998</v>
      </c>
      <c r="W765" s="238">
        <v>16181</v>
      </c>
      <c r="Y765" s="244"/>
      <c r="Z765" s="309">
        <f t="shared" si="103"/>
        <v>51</v>
      </c>
    </row>
    <row r="766" spans="1:26" s="215" customFormat="1" ht="15" customHeight="1" x14ac:dyDescent="0.25">
      <c r="A766" s="233"/>
      <c r="B766" s="310" t="s">
        <v>2252</v>
      </c>
      <c r="C766" s="233"/>
      <c r="D766" s="233"/>
      <c r="E766" s="232"/>
      <c r="F766" s="233" t="s">
        <v>2249</v>
      </c>
      <c r="G766" s="242" t="str">
        <f>CONCATENATE(H766,"/",I766,"/",J766,)</f>
        <v>4/10/2011</v>
      </c>
      <c r="H766" s="246">
        <v>4</v>
      </c>
      <c r="I766" s="246">
        <v>10</v>
      </c>
      <c r="J766" s="243">
        <v>2011</v>
      </c>
      <c r="K766" s="215" t="s">
        <v>761</v>
      </c>
      <c r="L766" s="238" t="s">
        <v>2250</v>
      </c>
      <c r="M766" s="215" t="s">
        <v>796</v>
      </c>
      <c r="N766" s="247">
        <v>4839.1099999999997</v>
      </c>
      <c r="O766" s="147"/>
      <c r="Q766" s="215">
        <v>10</v>
      </c>
      <c r="R766" s="308">
        <f t="shared" si="101"/>
        <v>40.317583333333332</v>
      </c>
      <c r="S766" s="5">
        <v>2015.8791666666666</v>
      </c>
      <c r="T766" s="313">
        <f t="shared" si="98"/>
        <v>2056.1967500000001</v>
      </c>
      <c r="U766" s="15">
        <f t="shared" si="99"/>
        <v>40.317583333333459</v>
      </c>
      <c r="V766" s="244">
        <f t="shared" si="102"/>
        <v>2782.9132499999996</v>
      </c>
      <c r="W766" s="238">
        <v>16181</v>
      </c>
      <c r="Y766" s="244"/>
      <c r="Z766" s="309">
        <f t="shared" si="103"/>
        <v>51</v>
      </c>
    </row>
    <row r="767" spans="1:26" s="245" customFormat="1" x14ac:dyDescent="0.25">
      <c r="A767" s="97"/>
      <c r="B767" s="196" t="s">
        <v>2253</v>
      </c>
      <c r="C767" s="97"/>
      <c r="D767" s="97"/>
      <c r="E767" s="208"/>
      <c r="F767" s="208" t="s">
        <v>2235</v>
      </c>
      <c r="G767" s="132" t="str">
        <f>CONCATENATE(H767,"/",I767,"/",J767,)</f>
        <v>28/10/2011</v>
      </c>
      <c r="H767" s="100">
        <v>28</v>
      </c>
      <c r="I767" s="100">
        <v>10</v>
      </c>
      <c r="J767" s="201">
        <v>2011</v>
      </c>
      <c r="K767" s="245" t="s">
        <v>761</v>
      </c>
      <c r="L767" s="365" t="s">
        <v>2254</v>
      </c>
      <c r="M767" s="245" t="s">
        <v>796</v>
      </c>
      <c r="N767" s="562">
        <v>9995</v>
      </c>
      <c r="O767" s="311"/>
      <c r="Q767" s="245">
        <v>10</v>
      </c>
      <c r="R767" s="30">
        <f t="shared" si="101"/>
        <v>83.283333333333331</v>
      </c>
      <c r="S767" s="5">
        <v>4164.166666666667</v>
      </c>
      <c r="T767" s="313">
        <f t="shared" si="98"/>
        <v>4247.45</v>
      </c>
      <c r="U767" s="15">
        <f>T767-S767</f>
        <v>83.283333333332848</v>
      </c>
      <c r="V767" s="313">
        <f t="shared" si="102"/>
        <v>5747.55</v>
      </c>
      <c r="W767" s="365">
        <v>16312</v>
      </c>
      <c r="Y767" s="313"/>
      <c r="Z767" s="114">
        <f t="shared" si="103"/>
        <v>51</v>
      </c>
    </row>
    <row r="768" spans="1:26" s="248" customFormat="1" x14ac:dyDescent="0.25">
      <c r="B768" s="249" t="s">
        <v>2255</v>
      </c>
      <c r="E768" s="250"/>
      <c r="F768" s="250"/>
      <c r="G768" s="251" t="str">
        <f>CONCATENATE(H768,"/",I768,"/",J768,)</f>
        <v>28/10/2011</v>
      </c>
      <c r="H768" s="246">
        <v>28</v>
      </c>
      <c r="I768" s="246">
        <v>10</v>
      </c>
      <c r="J768" s="243">
        <v>2011</v>
      </c>
      <c r="L768" s="252"/>
      <c r="N768" s="253">
        <v>1623862</v>
      </c>
      <c r="O768" s="253"/>
      <c r="Q768" s="103"/>
      <c r="R768" s="254">
        <v>22548.06</v>
      </c>
      <c r="S768" s="254">
        <v>1207387.6400000001</v>
      </c>
      <c r="T768" s="254">
        <f>+S768+R768</f>
        <v>1229935.7000000002</v>
      </c>
      <c r="U768" s="15">
        <f>T768-S768</f>
        <v>22548.060000000056</v>
      </c>
      <c r="V768" s="254">
        <f t="shared" si="102"/>
        <v>393926.29999999981</v>
      </c>
    </row>
    <row r="769" spans="1:26" s="261" customFormat="1" ht="16.5" thickBot="1" x14ac:dyDescent="0.3">
      <c r="A769" s="22" t="s">
        <v>684</v>
      </c>
      <c r="B769" s="256"/>
      <c r="C769" s="255"/>
      <c r="D769" s="255"/>
      <c r="E769" s="255"/>
      <c r="F769" s="255"/>
      <c r="G769" s="255"/>
      <c r="H769" s="257"/>
      <c r="I769" s="257"/>
      <c r="J769" s="258"/>
      <c r="K769" s="255"/>
      <c r="L769" s="255"/>
      <c r="M769" s="255"/>
      <c r="N769" s="259">
        <f>SUM(N741:N768)</f>
        <v>2199361.7999999998</v>
      </c>
      <c r="O769" s="259">
        <f t="shared" ref="O769:V769" si="104">SUM(O741:O768)</f>
        <v>0</v>
      </c>
      <c r="P769" s="259">
        <f t="shared" si="104"/>
        <v>0</v>
      </c>
      <c r="Q769" s="262"/>
      <c r="R769" s="259">
        <f t="shared" si="104"/>
        <v>27343.666666666668</v>
      </c>
      <c r="S769" s="259">
        <v>1473950.8120000004</v>
      </c>
      <c r="T769" s="259">
        <f t="shared" si="104"/>
        <v>1501294.4786666669</v>
      </c>
      <c r="U769" s="259">
        <f t="shared" si="104"/>
        <v>27343.666666666712</v>
      </c>
      <c r="V769" s="259">
        <f t="shared" si="104"/>
        <v>698067.32133333315</v>
      </c>
    </row>
    <row r="770" spans="1:26" s="261" customFormat="1" ht="16.5" thickTop="1" x14ac:dyDescent="0.25">
      <c r="A770" s="255"/>
      <c r="B770" s="256"/>
      <c r="C770" s="255"/>
      <c r="D770" s="255"/>
      <c r="E770" s="255"/>
      <c r="F770" s="255"/>
      <c r="G770" s="255"/>
      <c r="H770" s="257"/>
      <c r="I770" s="257"/>
      <c r="J770" s="258"/>
      <c r="K770" s="255"/>
      <c r="L770" s="255"/>
      <c r="M770" s="255"/>
      <c r="N770" s="262"/>
      <c r="O770" s="260"/>
      <c r="Q770" s="235"/>
      <c r="R770" s="262"/>
      <c r="S770" s="262"/>
      <c r="T770" s="262"/>
      <c r="U770" s="262"/>
      <c r="V770" s="262"/>
    </row>
    <row r="771" spans="1:26" s="245" customFormat="1" x14ac:dyDescent="0.25">
      <c r="A771" s="22" t="s">
        <v>686</v>
      </c>
      <c r="B771" s="97"/>
      <c r="C771" s="97"/>
      <c r="D771" s="97"/>
      <c r="E771" s="97"/>
      <c r="F771" s="97"/>
      <c r="G771" s="132"/>
      <c r="H771" s="133"/>
      <c r="I771" s="133"/>
      <c r="J771" s="134"/>
      <c r="K771" s="97"/>
      <c r="L771" s="97"/>
      <c r="M771" s="97"/>
      <c r="N771" s="29">
        <f>+N769+N739</f>
        <v>7568218.5036387136</v>
      </c>
      <c r="O771" s="29">
        <f t="shared" ref="O771:V771" si="105">+O769+O739</f>
        <v>0</v>
      </c>
      <c r="P771" s="29">
        <f t="shared" si="105"/>
        <v>0</v>
      </c>
      <c r="Q771" s="28"/>
      <c r="R771" s="29">
        <f>+R769+R739</f>
        <v>55471.272363655982</v>
      </c>
      <c r="S771" s="29">
        <v>5896009.6877554543</v>
      </c>
      <c r="T771" s="29">
        <f t="shared" si="105"/>
        <v>5951480.9601191096</v>
      </c>
      <c r="U771" s="29">
        <f t="shared" si="105"/>
        <v>55471.272363656011</v>
      </c>
      <c r="V771" s="29">
        <f t="shared" si="105"/>
        <v>1616737.543519605</v>
      </c>
      <c r="X771" s="312"/>
      <c r="Y771" s="313"/>
      <c r="Z771" s="114"/>
    </row>
    <row r="772" spans="1:26" s="267" customFormat="1" x14ac:dyDescent="0.25">
      <c r="A772" s="263"/>
      <c r="B772" s="263"/>
      <c r="C772" s="263"/>
      <c r="D772" s="263"/>
      <c r="E772" s="263"/>
      <c r="F772" s="263"/>
      <c r="G772" s="263"/>
      <c r="H772" s="264"/>
      <c r="I772" s="264"/>
      <c r="J772" s="265"/>
      <c r="K772" s="263"/>
      <c r="L772" s="263"/>
      <c r="M772" s="263"/>
      <c r="N772" s="266"/>
      <c r="O772" s="266"/>
      <c r="Q772" s="215"/>
      <c r="R772" s="268"/>
      <c r="S772" s="268"/>
      <c r="T772" s="268"/>
      <c r="U772" s="268"/>
      <c r="V772" s="268"/>
    </row>
    <row r="773" spans="1:26" s="103" customFormat="1" x14ac:dyDescent="0.25">
      <c r="A773" s="97"/>
      <c r="B773" s="97" t="s">
        <v>1664</v>
      </c>
      <c r="C773" s="97" t="s">
        <v>2256</v>
      </c>
      <c r="D773" s="97" t="s">
        <v>2257</v>
      </c>
      <c r="E773" s="97"/>
      <c r="F773" s="97" t="s">
        <v>1679</v>
      </c>
      <c r="G773" s="132">
        <v>40934</v>
      </c>
      <c r="H773" s="133">
        <v>26</v>
      </c>
      <c r="I773" s="133">
        <v>1</v>
      </c>
      <c r="J773" s="134">
        <v>2012</v>
      </c>
      <c r="K773" s="97" t="s">
        <v>56</v>
      </c>
      <c r="L773" s="97">
        <v>90120729</v>
      </c>
      <c r="M773" s="97" t="s">
        <v>796</v>
      </c>
      <c r="N773" s="186">
        <v>5481.26</v>
      </c>
      <c r="O773" s="187" t="s">
        <v>1666</v>
      </c>
      <c r="Q773" s="103">
        <v>10</v>
      </c>
      <c r="R773" s="135">
        <f>(N773/Q773)/12</f>
        <v>45.677166666666665</v>
      </c>
      <c r="S773" s="5">
        <v>2146.8268333333331</v>
      </c>
      <c r="T773" s="313">
        <f>Z773*R773</f>
        <v>2192.5039999999999</v>
      </c>
      <c r="U773" s="15">
        <f>T773-S773</f>
        <v>45.677166666666835</v>
      </c>
      <c r="V773" s="135">
        <f>N773-T773</f>
        <v>3288.7560000000003</v>
      </c>
      <c r="W773" s="103">
        <v>16617</v>
      </c>
      <c r="X773" s="136"/>
      <c r="Y773" s="230"/>
      <c r="Z773" s="114">
        <f>IF((DATEDIF(G773,Z$4,"m"))&gt;=120,120,(DATEDIF(G773,Z$4,"m")))</f>
        <v>48</v>
      </c>
    </row>
    <row r="774" spans="1:26" s="103" customFormat="1" x14ac:dyDescent="0.25">
      <c r="A774" s="97"/>
      <c r="B774" s="97" t="s">
        <v>1664</v>
      </c>
      <c r="C774" s="97" t="s">
        <v>2256</v>
      </c>
      <c r="D774" s="97" t="s">
        <v>2257</v>
      </c>
      <c r="E774" s="97"/>
      <c r="F774" s="97" t="s">
        <v>1679</v>
      </c>
      <c r="G774" s="132">
        <v>40934</v>
      </c>
      <c r="H774" s="133">
        <v>26</v>
      </c>
      <c r="I774" s="133">
        <v>1</v>
      </c>
      <c r="J774" s="134">
        <v>2012</v>
      </c>
      <c r="K774" s="97" t="s">
        <v>56</v>
      </c>
      <c r="L774" s="97">
        <v>90120729</v>
      </c>
      <c r="M774" s="97" t="s">
        <v>796</v>
      </c>
      <c r="N774" s="186">
        <v>5481.26</v>
      </c>
      <c r="O774" s="187" t="s">
        <v>1666</v>
      </c>
      <c r="Q774" s="103">
        <v>10</v>
      </c>
      <c r="R774" s="135">
        <f>(N774/Q774)/12</f>
        <v>45.677166666666665</v>
      </c>
      <c r="S774" s="5">
        <v>2146.8268333333331</v>
      </c>
      <c r="T774" s="313">
        <f>Z774*R774</f>
        <v>2192.5039999999999</v>
      </c>
      <c r="U774" s="15">
        <f>T774-S774</f>
        <v>45.677166666666835</v>
      </c>
      <c r="V774" s="135">
        <f>N774-T774</f>
        <v>3288.7560000000003</v>
      </c>
      <c r="W774" s="103">
        <v>16617</v>
      </c>
      <c r="X774" s="136"/>
      <c r="Y774" s="230"/>
      <c r="Z774" s="114">
        <f>IF((DATEDIF(G774,Z$4,"m"))&gt;=120,120,(DATEDIF(G774,Z$4,"m")))</f>
        <v>48</v>
      </c>
    </row>
    <row r="775" spans="1:26" s="103" customFormat="1" x14ac:dyDescent="0.25">
      <c r="A775" s="97"/>
      <c r="B775" s="97"/>
      <c r="C775" s="97"/>
      <c r="D775" s="97"/>
      <c r="E775" s="97"/>
      <c r="F775" s="97"/>
      <c r="G775" s="132"/>
      <c r="H775" s="133"/>
      <c r="I775" s="133"/>
      <c r="J775" s="134"/>
      <c r="K775" s="97"/>
      <c r="L775" s="97"/>
      <c r="M775" s="97"/>
      <c r="N775" s="109">
        <f>SUM(N773:N774)</f>
        <v>10962.52</v>
      </c>
      <c r="O775" s="269"/>
      <c r="P775" s="112"/>
      <c r="Q775" s="282"/>
      <c r="R775" s="113">
        <f>SUM(R773:R774)</f>
        <v>91.354333333333329</v>
      </c>
      <c r="S775" s="113">
        <v>4293.6536666666661</v>
      </c>
      <c r="T775" s="113">
        <f>SUM(T773:T774)</f>
        <v>4385.0079999999998</v>
      </c>
      <c r="U775" s="113">
        <f>SUM(U773:U774)</f>
        <v>91.35433333333367</v>
      </c>
      <c r="V775" s="113">
        <f>SUM(V773:V774)</f>
        <v>6577.5120000000006</v>
      </c>
      <c r="X775" s="136"/>
      <c r="Y775" s="230"/>
      <c r="Z775" s="114"/>
    </row>
    <row r="776" spans="1:26" s="103" customFormat="1" x14ac:dyDescent="0.25">
      <c r="A776" s="97"/>
      <c r="B776" s="97"/>
      <c r="C776" s="97"/>
      <c r="D776" s="97"/>
      <c r="E776" s="97"/>
      <c r="F776" s="97"/>
      <c r="G776" s="132"/>
      <c r="H776" s="133"/>
      <c r="I776" s="133"/>
      <c r="J776" s="134"/>
      <c r="K776" s="97"/>
      <c r="L776" s="97"/>
      <c r="M776" s="97"/>
      <c r="N776" s="186"/>
      <c r="O776" s="187"/>
      <c r="R776" s="135"/>
      <c r="S776" s="135"/>
      <c r="T776" s="244"/>
      <c r="U776" s="244"/>
      <c r="V776" s="135"/>
      <c r="X776" s="136"/>
      <c r="Y776" s="230"/>
      <c r="Z776" s="114"/>
    </row>
    <row r="777" spans="1:26" x14ac:dyDescent="0.25">
      <c r="B777" s="98" t="s">
        <v>2258</v>
      </c>
      <c r="D777" s="98">
        <v>2000</v>
      </c>
      <c r="F777" s="233" t="s">
        <v>2249</v>
      </c>
      <c r="G777" s="132">
        <v>41116</v>
      </c>
      <c r="H777" s="270">
        <v>26</v>
      </c>
      <c r="I777" s="270">
        <v>7</v>
      </c>
      <c r="J777" s="271">
        <v>2012</v>
      </c>
      <c r="K777" s="97" t="s">
        <v>56</v>
      </c>
      <c r="L777" s="97" t="s">
        <v>2259</v>
      </c>
      <c r="M777" s="97" t="s">
        <v>796</v>
      </c>
      <c r="N777" s="188">
        <v>7059.3455000000004</v>
      </c>
      <c r="O777" s="187" t="s">
        <v>1666</v>
      </c>
      <c r="P777" s="103"/>
      <c r="Q777" s="103">
        <v>10</v>
      </c>
      <c r="R777" s="135">
        <f t="shared" ref="R777:R789" si="106">(N777/Q777)/12</f>
        <v>58.827879166666669</v>
      </c>
      <c r="S777" s="5">
        <v>2411.9430458333336</v>
      </c>
      <c r="T777" s="313">
        <f>Z777*R777</f>
        <v>2470.7709250000003</v>
      </c>
      <c r="U777" s="15">
        <f>T777-S777</f>
        <v>58.827879166666662</v>
      </c>
      <c r="V777" s="135">
        <f t="shared" ref="V777:V789" si="107">N777-T777</f>
        <v>4588.5745750000006</v>
      </c>
      <c r="W777" s="103">
        <v>17327</v>
      </c>
      <c r="X777" s="136"/>
      <c r="Y777" s="230"/>
      <c r="Z777" s="114">
        <f t="shared" ref="Z777:Z789" si="108">IF((DATEDIF(G777,Z$4,"m"))&gt;=120,120,(DATEDIF(G777,Z$4,"m")))</f>
        <v>42</v>
      </c>
    </row>
    <row r="778" spans="1:26" x14ac:dyDescent="0.25">
      <c r="B778" s="98" t="s">
        <v>2258</v>
      </c>
      <c r="D778" s="98">
        <v>2000</v>
      </c>
      <c r="F778" s="233" t="s">
        <v>2249</v>
      </c>
      <c r="G778" s="132">
        <v>41116</v>
      </c>
      <c r="H778" s="270">
        <v>26</v>
      </c>
      <c r="I778" s="270">
        <v>7</v>
      </c>
      <c r="J778" s="271">
        <v>2012</v>
      </c>
      <c r="K778" s="97" t="s">
        <v>56</v>
      </c>
      <c r="L778" s="97" t="s">
        <v>2259</v>
      </c>
      <c r="M778" s="97" t="s">
        <v>796</v>
      </c>
      <c r="N778" s="188">
        <v>7059.3455000000004</v>
      </c>
      <c r="O778" s="187" t="s">
        <v>1666</v>
      </c>
      <c r="P778" s="103"/>
      <c r="Q778" s="103">
        <v>10</v>
      </c>
      <c r="R778" s="135">
        <f t="shared" si="106"/>
        <v>58.827879166666669</v>
      </c>
      <c r="S778" s="5">
        <v>2411.9430458333336</v>
      </c>
      <c r="T778" s="313">
        <f t="shared" ref="T778:T789" si="109">Z778*R778</f>
        <v>2470.7709250000003</v>
      </c>
      <c r="U778" s="15">
        <f t="shared" ref="U778:U789" si="110">T778-S778</f>
        <v>58.827879166666662</v>
      </c>
      <c r="V778" s="135">
        <f t="shared" si="107"/>
        <v>4588.5745750000006</v>
      </c>
      <c r="W778" s="103">
        <v>17327</v>
      </c>
      <c r="X778" s="136"/>
      <c r="Y778" s="230"/>
      <c r="Z778" s="114">
        <f t="shared" si="108"/>
        <v>42</v>
      </c>
    </row>
    <row r="779" spans="1:26" x14ac:dyDescent="0.25">
      <c r="B779" s="98" t="s">
        <v>2258</v>
      </c>
      <c r="D779" s="98">
        <v>2000</v>
      </c>
      <c r="F779" s="233" t="s">
        <v>2249</v>
      </c>
      <c r="G779" s="132">
        <v>41116</v>
      </c>
      <c r="H779" s="270">
        <v>26</v>
      </c>
      <c r="I779" s="270">
        <v>7</v>
      </c>
      <c r="J779" s="271">
        <v>2012</v>
      </c>
      <c r="K779" s="97" t="s">
        <v>56</v>
      </c>
      <c r="L779" s="97" t="s">
        <v>2259</v>
      </c>
      <c r="M779" s="97" t="s">
        <v>796</v>
      </c>
      <c r="N779" s="188">
        <v>7059.3455000000004</v>
      </c>
      <c r="O779" s="187" t="s">
        <v>1666</v>
      </c>
      <c r="P779" s="103"/>
      <c r="Q779" s="103">
        <v>10</v>
      </c>
      <c r="R779" s="135">
        <f t="shared" si="106"/>
        <v>58.827879166666669</v>
      </c>
      <c r="S779" s="5">
        <v>2411.9430458333336</v>
      </c>
      <c r="T779" s="313">
        <f t="shared" si="109"/>
        <v>2470.7709250000003</v>
      </c>
      <c r="U779" s="15">
        <f t="shared" si="110"/>
        <v>58.827879166666662</v>
      </c>
      <c r="V779" s="135">
        <f t="shared" si="107"/>
        <v>4588.5745750000006</v>
      </c>
      <c r="W779" s="103">
        <v>17327</v>
      </c>
      <c r="X779" s="136"/>
      <c r="Y779" s="230"/>
      <c r="Z779" s="114">
        <f t="shared" si="108"/>
        <v>42</v>
      </c>
    </row>
    <row r="780" spans="1:26" x14ac:dyDescent="0.25">
      <c r="B780" s="98" t="s">
        <v>2258</v>
      </c>
      <c r="D780" s="98">
        <v>2000</v>
      </c>
      <c r="F780" s="233" t="s">
        <v>2249</v>
      </c>
      <c r="G780" s="132">
        <v>41116</v>
      </c>
      <c r="H780" s="270">
        <v>26</v>
      </c>
      <c r="I780" s="270">
        <v>7</v>
      </c>
      <c r="J780" s="271">
        <v>2012</v>
      </c>
      <c r="K780" s="97" t="s">
        <v>56</v>
      </c>
      <c r="L780" s="97" t="s">
        <v>2259</v>
      </c>
      <c r="M780" s="97" t="s">
        <v>796</v>
      </c>
      <c r="N780" s="188">
        <v>7059.3455000000004</v>
      </c>
      <c r="O780" s="187" t="s">
        <v>1666</v>
      </c>
      <c r="P780" s="103"/>
      <c r="Q780" s="103">
        <v>10</v>
      </c>
      <c r="R780" s="135">
        <f t="shared" si="106"/>
        <v>58.827879166666669</v>
      </c>
      <c r="S780" s="5">
        <v>2411.9430458333336</v>
      </c>
      <c r="T780" s="313">
        <f t="shared" si="109"/>
        <v>2470.7709250000003</v>
      </c>
      <c r="U780" s="15">
        <f t="shared" si="110"/>
        <v>58.827879166666662</v>
      </c>
      <c r="V780" s="135">
        <f t="shared" si="107"/>
        <v>4588.5745750000006</v>
      </c>
      <c r="W780" s="103">
        <v>17327</v>
      </c>
      <c r="X780" s="136"/>
      <c r="Y780" s="230"/>
      <c r="Z780" s="114">
        <f t="shared" si="108"/>
        <v>42</v>
      </c>
    </row>
    <row r="781" spans="1:26" x14ac:dyDescent="0.25">
      <c r="B781" s="98" t="s">
        <v>2258</v>
      </c>
      <c r="D781" s="98">
        <v>2000</v>
      </c>
      <c r="F781" s="233" t="s">
        <v>2249</v>
      </c>
      <c r="G781" s="132">
        <v>41116</v>
      </c>
      <c r="H781" s="270">
        <v>26</v>
      </c>
      <c r="I781" s="270">
        <v>7</v>
      </c>
      <c r="J781" s="271">
        <v>2012</v>
      </c>
      <c r="K781" s="97" t="s">
        <v>56</v>
      </c>
      <c r="L781" s="97" t="s">
        <v>2259</v>
      </c>
      <c r="M781" s="97" t="s">
        <v>796</v>
      </c>
      <c r="N781" s="188">
        <v>7059.3455000000004</v>
      </c>
      <c r="O781" s="187" t="s">
        <v>1666</v>
      </c>
      <c r="P781" s="103"/>
      <c r="Q781" s="103">
        <v>10</v>
      </c>
      <c r="R781" s="135">
        <f t="shared" si="106"/>
        <v>58.827879166666669</v>
      </c>
      <c r="S781" s="5">
        <v>2411.9430458333336</v>
      </c>
      <c r="T781" s="313">
        <f t="shared" si="109"/>
        <v>2470.7709250000003</v>
      </c>
      <c r="U781" s="15">
        <f t="shared" si="110"/>
        <v>58.827879166666662</v>
      </c>
      <c r="V781" s="135">
        <f t="shared" si="107"/>
        <v>4588.5745750000006</v>
      </c>
      <c r="W781" s="103">
        <v>17327</v>
      </c>
      <c r="X781" s="136"/>
      <c r="Y781" s="230"/>
      <c r="Z781" s="114">
        <f t="shared" si="108"/>
        <v>42</v>
      </c>
    </row>
    <row r="782" spans="1:26" x14ac:dyDescent="0.25">
      <c r="B782" s="98" t="s">
        <v>2260</v>
      </c>
      <c r="D782" s="98">
        <v>2000</v>
      </c>
      <c r="F782" s="233" t="s">
        <v>2249</v>
      </c>
      <c r="G782" s="132">
        <v>41116</v>
      </c>
      <c r="H782" s="270">
        <v>26</v>
      </c>
      <c r="I782" s="270">
        <v>7</v>
      </c>
      <c r="J782" s="271">
        <v>2012</v>
      </c>
      <c r="K782" s="97" t="s">
        <v>56</v>
      </c>
      <c r="L782" s="97" t="s">
        <v>2259</v>
      </c>
      <c r="M782" s="97" t="s">
        <v>796</v>
      </c>
      <c r="N782" s="188">
        <v>7871.77</v>
      </c>
      <c r="O782" s="187" t="s">
        <v>1666</v>
      </c>
      <c r="P782" s="103"/>
      <c r="Q782" s="103">
        <v>10</v>
      </c>
      <c r="R782" s="135">
        <f t="shared" si="106"/>
        <v>65.598083333333335</v>
      </c>
      <c r="S782" s="5">
        <v>2689.5214166666669</v>
      </c>
      <c r="T782" s="313">
        <f t="shared" si="109"/>
        <v>2755.1195000000002</v>
      </c>
      <c r="U782" s="15">
        <f t="shared" si="110"/>
        <v>65.598083333333307</v>
      </c>
      <c r="V782" s="135">
        <f t="shared" si="107"/>
        <v>5116.6504999999997</v>
      </c>
      <c r="W782" s="103">
        <v>17327</v>
      </c>
      <c r="X782" s="136"/>
      <c r="Y782" s="230"/>
      <c r="Z782" s="114">
        <f t="shared" si="108"/>
        <v>42</v>
      </c>
    </row>
    <row r="783" spans="1:26" x14ac:dyDescent="0.25">
      <c r="B783" s="98" t="s">
        <v>2261</v>
      </c>
      <c r="D783" s="98" t="s">
        <v>2262</v>
      </c>
      <c r="F783" s="233" t="s">
        <v>2249</v>
      </c>
      <c r="G783" s="132">
        <v>41116</v>
      </c>
      <c r="H783" s="270">
        <v>26</v>
      </c>
      <c r="I783" s="270">
        <v>7</v>
      </c>
      <c r="J783" s="271">
        <v>2012</v>
      </c>
      <c r="K783" s="97" t="s">
        <v>56</v>
      </c>
      <c r="L783" s="97" t="s">
        <v>2259</v>
      </c>
      <c r="M783" s="97" t="s">
        <v>796</v>
      </c>
      <c r="N783" s="188">
        <v>3024.58</v>
      </c>
      <c r="O783" s="187" t="s">
        <v>1666</v>
      </c>
      <c r="P783" s="103"/>
      <c r="Q783" s="103">
        <v>10</v>
      </c>
      <c r="R783" s="135">
        <f t="shared" si="106"/>
        <v>25.20483333333333</v>
      </c>
      <c r="S783" s="5">
        <v>1033.3981666666666</v>
      </c>
      <c r="T783" s="313">
        <f t="shared" si="109"/>
        <v>1058.6029999999998</v>
      </c>
      <c r="U783" s="15">
        <f t="shared" si="110"/>
        <v>25.204833333333227</v>
      </c>
      <c r="V783" s="135">
        <f t="shared" si="107"/>
        <v>1965.9770000000001</v>
      </c>
      <c r="W783" s="103">
        <v>17327</v>
      </c>
      <c r="X783" s="136"/>
      <c r="Y783" s="230"/>
      <c r="Z783" s="114">
        <f t="shared" si="108"/>
        <v>42</v>
      </c>
    </row>
    <row r="784" spans="1:26" x14ac:dyDescent="0.25">
      <c r="B784" s="98" t="s">
        <v>2263</v>
      </c>
      <c r="F784" s="233" t="s">
        <v>2249</v>
      </c>
      <c r="G784" s="132">
        <v>41116</v>
      </c>
      <c r="H784" s="270">
        <v>26</v>
      </c>
      <c r="I784" s="270">
        <v>7</v>
      </c>
      <c r="J784" s="271">
        <v>2012</v>
      </c>
      <c r="K784" s="97" t="s">
        <v>56</v>
      </c>
      <c r="L784" s="97" t="s">
        <v>2259</v>
      </c>
      <c r="M784" s="97" t="s">
        <v>796</v>
      </c>
      <c r="N784" s="188">
        <v>655.97550000000001</v>
      </c>
      <c r="O784" s="187" t="s">
        <v>1666</v>
      </c>
      <c r="P784" s="103"/>
      <c r="Q784" s="103">
        <v>10</v>
      </c>
      <c r="R784" s="135">
        <f t="shared" si="106"/>
        <v>5.4664624999999996</v>
      </c>
      <c r="S784" s="5">
        <v>224.12496249999998</v>
      </c>
      <c r="T784" s="313">
        <f t="shared" si="109"/>
        <v>229.59142499999999</v>
      </c>
      <c r="U784" s="15">
        <f t="shared" si="110"/>
        <v>5.4664625000000058</v>
      </c>
      <c r="V784" s="135">
        <f t="shared" si="107"/>
        <v>426.38407500000005</v>
      </c>
      <c r="W784" s="103">
        <v>17327</v>
      </c>
      <c r="X784" s="136"/>
      <c r="Y784" s="230"/>
      <c r="Z784" s="114">
        <f t="shared" si="108"/>
        <v>42</v>
      </c>
    </row>
    <row r="785" spans="2:26" x14ac:dyDescent="0.25">
      <c r="B785" s="98" t="s">
        <v>2263</v>
      </c>
      <c r="F785" s="233" t="s">
        <v>2249</v>
      </c>
      <c r="G785" s="132">
        <v>41116</v>
      </c>
      <c r="H785" s="270">
        <v>26</v>
      </c>
      <c r="I785" s="270">
        <v>7</v>
      </c>
      <c r="J785" s="271">
        <v>2012</v>
      </c>
      <c r="K785" s="97" t="s">
        <v>56</v>
      </c>
      <c r="L785" s="97" t="s">
        <v>2259</v>
      </c>
      <c r="M785" s="97" t="s">
        <v>796</v>
      </c>
      <c r="N785" s="188">
        <v>655.97550000000001</v>
      </c>
      <c r="O785" s="187" t="s">
        <v>1666</v>
      </c>
      <c r="P785" s="103"/>
      <c r="Q785" s="103">
        <v>10</v>
      </c>
      <c r="R785" s="135">
        <f t="shared" si="106"/>
        <v>5.4664624999999996</v>
      </c>
      <c r="S785" s="5">
        <v>224.12496249999998</v>
      </c>
      <c r="T785" s="313">
        <f t="shared" si="109"/>
        <v>229.59142499999999</v>
      </c>
      <c r="U785" s="15">
        <f t="shared" si="110"/>
        <v>5.4664625000000058</v>
      </c>
      <c r="V785" s="135">
        <f t="shared" si="107"/>
        <v>426.38407500000005</v>
      </c>
      <c r="W785" s="103">
        <v>17327</v>
      </c>
      <c r="X785" s="136"/>
      <c r="Y785" s="230"/>
      <c r="Z785" s="114">
        <f t="shared" si="108"/>
        <v>42</v>
      </c>
    </row>
    <row r="786" spans="2:26" x14ac:dyDescent="0.25">
      <c r="B786" s="98" t="s">
        <v>2263</v>
      </c>
      <c r="F786" s="233" t="s">
        <v>2249</v>
      </c>
      <c r="G786" s="132">
        <v>41116</v>
      </c>
      <c r="H786" s="270">
        <v>26</v>
      </c>
      <c r="I786" s="270">
        <v>7</v>
      </c>
      <c r="J786" s="271">
        <v>2012</v>
      </c>
      <c r="K786" s="97" t="s">
        <v>56</v>
      </c>
      <c r="L786" s="97" t="s">
        <v>2259</v>
      </c>
      <c r="M786" s="97" t="s">
        <v>796</v>
      </c>
      <c r="N786" s="188">
        <v>655.97550000000001</v>
      </c>
      <c r="O786" s="187" t="s">
        <v>1666</v>
      </c>
      <c r="P786" s="103"/>
      <c r="Q786" s="103">
        <v>10</v>
      </c>
      <c r="R786" s="135">
        <f t="shared" si="106"/>
        <v>5.4664624999999996</v>
      </c>
      <c r="S786" s="5">
        <v>224.12496249999998</v>
      </c>
      <c r="T786" s="313">
        <f t="shared" si="109"/>
        <v>229.59142499999999</v>
      </c>
      <c r="U786" s="15">
        <f t="shared" si="110"/>
        <v>5.4664625000000058</v>
      </c>
      <c r="V786" s="135">
        <f t="shared" si="107"/>
        <v>426.38407500000005</v>
      </c>
      <c r="W786" s="103">
        <v>17327</v>
      </c>
      <c r="X786" s="136"/>
      <c r="Y786" s="230"/>
      <c r="Z786" s="114">
        <f t="shared" si="108"/>
        <v>42</v>
      </c>
    </row>
    <row r="787" spans="2:26" x14ac:dyDescent="0.25">
      <c r="B787" s="98" t="s">
        <v>2263</v>
      </c>
      <c r="F787" s="233" t="s">
        <v>2249</v>
      </c>
      <c r="G787" s="132">
        <v>41116</v>
      </c>
      <c r="H787" s="270">
        <v>26</v>
      </c>
      <c r="I787" s="270">
        <v>7</v>
      </c>
      <c r="J787" s="271">
        <v>2012</v>
      </c>
      <c r="K787" s="97" t="s">
        <v>56</v>
      </c>
      <c r="L787" s="97" t="s">
        <v>2259</v>
      </c>
      <c r="M787" s="97" t="s">
        <v>796</v>
      </c>
      <c r="N787" s="188">
        <v>655.97550000000001</v>
      </c>
      <c r="O787" s="187" t="s">
        <v>1666</v>
      </c>
      <c r="P787" s="103"/>
      <c r="Q787" s="103">
        <v>10</v>
      </c>
      <c r="R787" s="135">
        <f t="shared" si="106"/>
        <v>5.4664624999999996</v>
      </c>
      <c r="S787" s="5">
        <v>224.12496249999998</v>
      </c>
      <c r="T787" s="313">
        <f t="shared" si="109"/>
        <v>229.59142499999999</v>
      </c>
      <c r="U787" s="15">
        <f t="shared" si="110"/>
        <v>5.4664625000000058</v>
      </c>
      <c r="V787" s="135">
        <f t="shared" si="107"/>
        <v>426.38407500000005</v>
      </c>
      <c r="W787" s="103">
        <v>17327</v>
      </c>
      <c r="X787" s="136"/>
      <c r="Y787" s="230"/>
      <c r="Z787" s="114">
        <f t="shared" si="108"/>
        <v>42</v>
      </c>
    </row>
    <row r="788" spans="2:26" x14ac:dyDescent="0.25">
      <c r="B788" s="98" t="s">
        <v>2263</v>
      </c>
      <c r="F788" s="233" t="s">
        <v>2249</v>
      </c>
      <c r="G788" s="132">
        <v>41116</v>
      </c>
      <c r="H788" s="270">
        <v>26</v>
      </c>
      <c r="I788" s="270">
        <v>7</v>
      </c>
      <c r="J788" s="271">
        <v>2012</v>
      </c>
      <c r="K788" s="97" t="s">
        <v>56</v>
      </c>
      <c r="L788" s="97" t="s">
        <v>2259</v>
      </c>
      <c r="M788" s="97" t="s">
        <v>796</v>
      </c>
      <c r="N788" s="188">
        <v>655.97550000000001</v>
      </c>
      <c r="O788" s="187" t="s">
        <v>1666</v>
      </c>
      <c r="P788" s="103"/>
      <c r="Q788" s="103">
        <v>10</v>
      </c>
      <c r="R788" s="135">
        <f t="shared" si="106"/>
        <v>5.4664624999999996</v>
      </c>
      <c r="S788" s="5">
        <v>224.12496249999998</v>
      </c>
      <c r="T788" s="313">
        <f t="shared" si="109"/>
        <v>229.59142499999999</v>
      </c>
      <c r="U788" s="15">
        <f t="shared" si="110"/>
        <v>5.4664625000000058</v>
      </c>
      <c r="V788" s="135">
        <f t="shared" si="107"/>
        <v>426.38407500000005</v>
      </c>
      <c r="W788" s="103">
        <v>17327</v>
      </c>
      <c r="X788" s="136"/>
      <c r="Y788" s="230"/>
      <c r="Z788" s="114">
        <f t="shared" si="108"/>
        <v>42</v>
      </c>
    </row>
    <row r="789" spans="2:26" x14ac:dyDescent="0.25">
      <c r="B789" s="98" t="s">
        <v>2264</v>
      </c>
      <c r="D789" s="98">
        <v>2000</v>
      </c>
      <c r="F789" s="233" t="s">
        <v>2249</v>
      </c>
      <c r="G789" s="132">
        <v>41121</v>
      </c>
      <c r="H789" s="270">
        <v>31</v>
      </c>
      <c r="I789" s="270">
        <v>7</v>
      </c>
      <c r="J789" s="271">
        <v>2012</v>
      </c>
      <c r="K789" s="97" t="s">
        <v>56</v>
      </c>
      <c r="L789" s="97" t="s">
        <v>2265</v>
      </c>
      <c r="M789" s="97" t="s">
        <v>796</v>
      </c>
      <c r="N789" s="188">
        <v>10089.98</v>
      </c>
      <c r="O789" s="187" t="s">
        <v>1666</v>
      </c>
      <c r="P789" s="103"/>
      <c r="Q789" s="103">
        <v>10</v>
      </c>
      <c r="R789" s="135">
        <f t="shared" si="106"/>
        <v>84.083166666666656</v>
      </c>
      <c r="S789" s="5">
        <v>3447.4098333333327</v>
      </c>
      <c r="T789" s="313">
        <f t="shared" si="109"/>
        <v>3531.4929999999995</v>
      </c>
      <c r="U789" s="15">
        <f t="shared" si="110"/>
        <v>84.083166666666784</v>
      </c>
      <c r="V789" s="135">
        <f t="shared" si="107"/>
        <v>6558.4870000000001</v>
      </c>
      <c r="W789" s="103">
        <v>17327</v>
      </c>
      <c r="X789" s="136"/>
      <c r="Y789" s="230"/>
      <c r="Z789" s="114">
        <f t="shared" si="108"/>
        <v>42</v>
      </c>
    </row>
    <row r="790" spans="2:26" x14ac:dyDescent="0.25">
      <c r="N790" s="109">
        <f>SUM(N777:P789)</f>
        <v>59562.934999999998</v>
      </c>
      <c r="O790" s="269"/>
      <c r="P790" s="112"/>
      <c r="Q790" s="282"/>
      <c r="R790" s="113">
        <f>SUM(R777:R789)</f>
        <v>496.35779166666663</v>
      </c>
      <c r="S790" s="113">
        <v>20350.669458333326</v>
      </c>
      <c r="T790" s="113">
        <f>SUM(T777:T789)</f>
        <v>20847.027249999996</v>
      </c>
      <c r="U790" s="113">
        <f>SUM(U777:U789)</f>
        <v>496.3577916666668</v>
      </c>
      <c r="V790" s="113">
        <f>SUM(V777:V789)</f>
        <v>38715.907750000006</v>
      </c>
    </row>
    <row r="791" spans="2:26" x14ac:dyDescent="0.25">
      <c r="Q791" s="103"/>
    </row>
    <row r="792" spans="2:26" x14ac:dyDescent="0.25">
      <c r="B792" s="98" t="s">
        <v>2266</v>
      </c>
      <c r="F792" s="98" t="s">
        <v>2267</v>
      </c>
      <c r="G792" s="132">
        <v>41131</v>
      </c>
      <c r="H792" s="270">
        <v>10</v>
      </c>
      <c r="I792" s="270">
        <v>8</v>
      </c>
      <c r="J792" s="271">
        <v>2012</v>
      </c>
      <c r="K792" s="97" t="s">
        <v>56</v>
      </c>
      <c r="L792" s="97" t="s">
        <v>2268</v>
      </c>
      <c r="M792" s="97" t="s">
        <v>796</v>
      </c>
      <c r="N792" s="272">
        <v>12374.999711999999</v>
      </c>
      <c r="Q792" s="103">
        <v>10</v>
      </c>
      <c r="R792" s="135">
        <f t="shared" ref="R792:R855" si="111">(N792/Q792)/12</f>
        <v>103.12499759999999</v>
      </c>
      <c r="S792" s="5">
        <v>4124.9999039999993</v>
      </c>
      <c r="T792" s="313">
        <f>Z792*R792</f>
        <v>4228.1249015999992</v>
      </c>
      <c r="U792" s="15">
        <f>T792-S792</f>
        <v>103.12499759999992</v>
      </c>
      <c r="V792" s="135">
        <f t="shared" ref="V792:V855" si="112">N792-T792</f>
        <v>8146.8748103999997</v>
      </c>
      <c r="W792" s="103">
        <v>17317</v>
      </c>
      <c r="Z792" s="114">
        <f t="shared" ref="Z792:Z855" si="113">IF((DATEDIF(G792,Z$4,"m"))&gt;=120,120,(DATEDIF(G792,Z$4,"m")))</f>
        <v>41</v>
      </c>
    </row>
    <row r="793" spans="2:26" x14ac:dyDescent="0.25">
      <c r="B793" s="98" t="s">
        <v>2266</v>
      </c>
      <c r="F793" s="98" t="s">
        <v>2267</v>
      </c>
      <c r="G793" s="132">
        <v>41131</v>
      </c>
      <c r="H793" s="270">
        <v>10</v>
      </c>
      <c r="I793" s="270">
        <v>8</v>
      </c>
      <c r="J793" s="271">
        <v>2012</v>
      </c>
      <c r="K793" s="97" t="s">
        <v>56</v>
      </c>
      <c r="L793" s="97" t="s">
        <v>2268</v>
      </c>
      <c r="M793" s="97" t="s">
        <v>796</v>
      </c>
      <c r="N793" s="272">
        <v>12375.043559999998</v>
      </c>
      <c r="Q793" s="103">
        <v>10</v>
      </c>
      <c r="R793" s="135">
        <f t="shared" si="111"/>
        <v>103.12536299999999</v>
      </c>
      <c r="S793" s="5">
        <v>4125.0145199999997</v>
      </c>
      <c r="T793" s="313">
        <f t="shared" ref="T793:T856" si="114">Z793*R793</f>
        <v>4228.1398829999998</v>
      </c>
      <c r="U793" s="15">
        <f t="shared" ref="U793:U856" si="115">T793-S793</f>
        <v>103.12536300000011</v>
      </c>
      <c r="V793" s="135">
        <f t="shared" si="112"/>
        <v>8146.9036769999984</v>
      </c>
      <c r="W793" s="103">
        <v>17317</v>
      </c>
      <c r="Z793" s="114">
        <f t="shared" si="113"/>
        <v>41</v>
      </c>
    </row>
    <row r="794" spans="2:26" x14ac:dyDescent="0.25">
      <c r="B794" s="98" t="s">
        <v>2266</v>
      </c>
      <c r="F794" s="98" t="s">
        <v>2267</v>
      </c>
      <c r="G794" s="132">
        <v>41131</v>
      </c>
      <c r="H794" s="270">
        <v>10</v>
      </c>
      <c r="I794" s="270">
        <v>8</v>
      </c>
      <c r="J794" s="271">
        <v>2012</v>
      </c>
      <c r="K794" s="97" t="s">
        <v>56</v>
      </c>
      <c r="L794" s="97" t="s">
        <v>2268</v>
      </c>
      <c r="M794" s="97" t="s">
        <v>796</v>
      </c>
      <c r="N794" s="272">
        <v>12375.043559999998</v>
      </c>
      <c r="Q794" s="103">
        <v>10</v>
      </c>
      <c r="R794" s="135">
        <f t="shared" si="111"/>
        <v>103.12536299999999</v>
      </c>
      <c r="S794" s="5">
        <v>4125.0145199999997</v>
      </c>
      <c r="T794" s="313">
        <f t="shared" si="114"/>
        <v>4228.1398829999998</v>
      </c>
      <c r="U794" s="15">
        <f t="shared" si="115"/>
        <v>103.12536300000011</v>
      </c>
      <c r="V794" s="135">
        <f t="shared" si="112"/>
        <v>8146.9036769999984</v>
      </c>
      <c r="W794" s="103">
        <v>17317</v>
      </c>
      <c r="Z794" s="114">
        <f t="shared" si="113"/>
        <v>41</v>
      </c>
    </row>
    <row r="795" spans="2:26" x14ac:dyDescent="0.25">
      <c r="B795" s="98" t="s">
        <v>2266</v>
      </c>
      <c r="F795" s="98" t="s">
        <v>2267</v>
      </c>
      <c r="G795" s="132">
        <v>41131</v>
      </c>
      <c r="H795" s="270">
        <v>10</v>
      </c>
      <c r="I795" s="270">
        <v>8</v>
      </c>
      <c r="J795" s="271">
        <v>2012</v>
      </c>
      <c r="K795" s="97" t="s">
        <v>56</v>
      </c>
      <c r="L795" s="97" t="s">
        <v>2268</v>
      </c>
      <c r="M795" s="97" t="s">
        <v>796</v>
      </c>
      <c r="N795" s="272">
        <v>12375.043559999998</v>
      </c>
      <c r="Q795" s="103">
        <v>10</v>
      </c>
      <c r="R795" s="135">
        <f t="shared" si="111"/>
        <v>103.12536299999999</v>
      </c>
      <c r="S795" s="5">
        <v>4125.0145199999997</v>
      </c>
      <c r="T795" s="313">
        <f t="shared" si="114"/>
        <v>4228.1398829999998</v>
      </c>
      <c r="U795" s="15">
        <f t="shared" si="115"/>
        <v>103.12536300000011</v>
      </c>
      <c r="V795" s="135">
        <f t="shared" si="112"/>
        <v>8146.9036769999984</v>
      </c>
      <c r="W795" s="103">
        <v>17317</v>
      </c>
      <c r="Z795" s="114">
        <f t="shared" si="113"/>
        <v>41</v>
      </c>
    </row>
    <row r="796" spans="2:26" x14ac:dyDescent="0.25">
      <c r="B796" s="98" t="s">
        <v>2269</v>
      </c>
      <c r="F796" s="98" t="s">
        <v>2267</v>
      </c>
      <c r="G796" s="132">
        <v>41131</v>
      </c>
      <c r="H796" s="270">
        <v>10</v>
      </c>
      <c r="I796" s="270">
        <v>8</v>
      </c>
      <c r="J796" s="271">
        <v>2012</v>
      </c>
      <c r="K796" s="97" t="s">
        <v>56</v>
      </c>
      <c r="L796" s="97" t="s">
        <v>2268</v>
      </c>
      <c r="M796" s="97" t="s">
        <v>796</v>
      </c>
      <c r="N796" s="272">
        <v>6992.9990999999991</v>
      </c>
      <c r="Q796" s="103">
        <v>10</v>
      </c>
      <c r="R796" s="135">
        <f t="shared" si="111"/>
        <v>58.274992499999996</v>
      </c>
      <c r="S796" s="5">
        <v>2330.9996999999998</v>
      </c>
      <c r="T796" s="313">
        <f t="shared" si="114"/>
        <v>2389.2746924999997</v>
      </c>
      <c r="U796" s="15">
        <f t="shared" si="115"/>
        <v>58.274992499999826</v>
      </c>
      <c r="V796" s="135">
        <f t="shared" si="112"/>
        <v>4603.7244074999999</v>
      </c>
      <c r="W796" s="103">
        <v>17317</v>
      </c>
      <c r="Z796" s="114">
        <f t="shared" si="113"/>
        <v>41</v>
      </c>
    </row>
    <row r="797" spans="2:26" x14ac:dyDescent="0.25">
      <c r="B797" s="98" t="s">
        <v>2269</v>
      </c>
      <c r="F797" s="98" t="s">
        <v>2267</v>
      </c>
      <c r="G797" s="132">
        <v>41131</v>
      </c>
      <c r="H797" s="270">
        <v>10</v>
      </c>
      <c r="I797" s="270">
        <v>8</v>
      </c>
      <c r="J797" s="271">
        <v>2012</v>
      </c>
      <c r="K797" s="97" t="s">
        <v>56</v>
      </c>
      <c r="L797" s="97" t="s">
        <v>2268</v>
      </c>
      <c r="M797" s="97" t="s">
        <v>796</v>
      </c>
      <c r="N797" s="272">
        <v>6992.9990999999991</v>
      </c>
      <c r="Q797" s="103">
        <v>10</v>
      </c>
      <c r="R797" s="135">
        <f t="shared" si="111"/>
        <v>58.274992499999996</v>
      </c>
      <c r="S797" s="5">
        <v>2330.9996999999998</v>
      </c>
      <c r="T797" s="313">
        <f t="shared" si="114"/>
        <v>2389.2746924999997</v>
      </c>
      <c r="U797" s="15">
        <f t="shared" si="115"/>
        <v>58.274992499999826</v>
      </c>
      <c r="V797" s="135">
        <f t="shared" si="112"/>
        <v>4603.7244074999999</v>
      </c>
      <c r="W797" s="103">
        <v>17317</v>
      </c>
      <c r="Z797" s="114">
        <f t="shared" si="113"/>
        <v>41</v>
      </c>
    </row>
    <row r="798" spans="2:26" x14ac:dyDescent="0.25">
      <c r="B798" s="98" t="s">
        <v>2269</v>
      </c>
      <c r="F798" s="98" t="s">
        <v>2267</v>
      </c>
      <c r="G798" s="132">
        <v>41131</v>
      </c>
      <c r="H798" s="270">
        <v>10</v>
      </c>
      <c r="I798" s="270">
        <v>8</v>
      </c>
      <c r="J798" s="271">
        <v>2012</v>
      </c>
      <c r="K798" s="97" t="s">
        <v>56</v>
      </c>
      <c r="L798" s="97" t="s">
        <v>2268</v>
      </c>
      <c r="M798" s="97" t="s">
        <v>796</v>
      </c>
      <c r="N798" s="272">
        <v>6992.9990999999991</v>
      </c>
      <c r="Q798" s="103">
        <v>10</v>
      </c>
      <c r="R798" s="135">
        <f t="shared" si="111"/>
        <v>58.274992499999996</v>
      </c>
      <c r="S798" s="5">
        <v>2330.9996999999998</v>
      </c>
      <c r="T798" s="313">
        <f t="shared" si="114"/>
        <v>2389.2746924999997</v>
      </c>
      <c r="U798" s="15">
        <f t="shared" si="115"/>
        <v>58.274992499999826</v>
      </c>
      <c r="V798" s="135">
        <f t="shared" si="112"/>
        <v>4603.7244074999999</v>
      </c>
      <c r="W798" s="103">
        <v>17317</v>
      </c>
      <c r="Z798" s="114">
        <f t="shared" si="113"/>
        <v>41</v>
      </c>
    </row>
    <row r="799" spans="2:26" x14ac:dyDescent="0.25">
      <c r="B799" s="98" t="s">
        <v>2269</v>
      </c>
      <c r="F799" s="98" t="s">
        <v>2267</v>
      </c>
      <c r="G799" s="132">
        <v>41131</v>
      </c>
      <c r="H799" s="270">
        <v>10</v>
      </c>
      <c r="I799" s="270">
        <v>8</v>
      </c>
      <c r="J799" s="271">
        <v>2012</v>
      </c>
      <c r="K799" s="97" t="s">
        <v>56</v>
      </c>
      <c r="L799" s="97" t="s">
        <v>2268</v>
      </c>
      <c r="M799" s="97" t="s">
        <v>796</v>
      </c>
      <c r="N799" s="272">
        <v>6992.9990999999991</v>
      </c>
      <c r="Q799" s="103">
        <v>10</v>
      </c>
      <c r="R799" s="135">
        <f t="shared" si="111"/>
        <v>58.274992499999996</v>
      </c>
      <c r="S799" s="5">
        <v>2330.9996999999998</v>
      </c>
      <c r="T799" s="313">
        <f t="shared" si="114"/>
        <v>2389.2746924999997</v>
      </c>
      <c r="U799" s="15">
        <f t="shared" si="115"/>
        <v>58.274992499999826</v>
      </c>
      <c r="V799" s="135">
        <f t="shared" si="112"/>
        <v>4603.7244074999999</v>
      </c>
      <c r="W799" s="103">
        <v>17317</v>
      </c>
      <c r="Z799" s="114">
        <f t="shared" si="113"/>
        <v>41</v>
      </c>
    </row>
    <row r="800" spans="2:26" x14ac:dyDescent="0.25">
      <c r="B800" s="98" t="s">
        <v>2269</v>
      </c>
      <c r="F800" s="98" t="s">
        <v>2267</v>
      </c>
      <c r="G800" s="132">
        <v>41131</v>
      </c>
      <c r="H800" s="270">
        <v>10</v>
      </c>
      <c r="I800" s="270">
        <v>8</v>
      </c>
      <c r="J800" s="271">
        <v>2012</v>
      </c>
      <c r="K800" s="97" t="s">
        <v>56</v>
      </c>
      <c r="L800" s="97" t="s">
        <v>2268</v>
      </c>
      <c r="M800" s="97" t="s">
        <v>796</v>
      </c>
      <c r="N800" s="272">
        <v>6992.9990999999991</v>
      </c>
      <c r="Q800" s="103">
        <v>10</v>
      </c>
      <c r="R800" s="135">
        <f t="shared" si="111"/>
        <v>58.274992499999996</v>
      </c>
      <c r="S800" s="5">
        <v>2330.9996999999998</v>
      </c>
      <c r="T800" s="313">
        <f t="shared" si="114"/>
        <v>2389.2746924999997</v>
      </c>
      <c r="U800" s="15">
        <f t="shared" si="115"/>
        <v>58.274992499999826</v>
      </c>
      <c r="V800" s="135">
        <f t="shared" si="112"/>
        <v>4603.7244074999999</v>
      </c>
      <c r="W800" s="103">
        <v>17317</v>
      </c>
      <c r="Z800" s="114">
        <f t="shared" si="113"/>
        <v>41</v>
      </c>
    </row>
    <row r="801" spans="2:26" x14ac:dyDescent="0.25">
      <c r="B801" s="98" t="s">
        <v>2269</v>
      </c>
      <c r="F801" s="98" t="s">
        <v>2267</v>
      </c>
      <c r="G801" s="132">
        <v>41131</v>
      </c>
      <c r="H801" s="270">
        <v>10</v>
      </c>
      <c r="I801" s="270">
        <v>8</v>
      </c>
      <c r="J801" s="271">
        <v>2012</v>
      </c>
      <c r="K801" s="97" t="s">
        <v>56</v>
      </c>
      <c r="L801" s="97" t="s">
        <v>2268</v>
      </c>
      <c r="M801" s="97" t="s">
        <v>796</v>
      </c>
      <c r="N801" s="272">
        <v>6992.9990999999991</v>
      </c>
      <c r="Q801" s="103">
        <v>10</v>
      </c>
      <c r="R801" s="135">
        <f t="shared" si="111"/>
        <v>58.274992499999996</v>
      </c>
      <c r="S801" s="5">
        <v>2330.9996999999998</v>
      </c>
      <c r="T801" s="313">
        <f t="shared" si="114"/>
        <v>2389.2746924999997</v>
      </c>
      <c r="U801" s="15">
        <f t="shared" si="115"/>
        <v>58.274992499999826</v>
      </c>
      <c r="V801" s="135">
        <f t="shared" si="112"/>
        <v>4603.7244074999999</v>
      </c>
      <c r="W801" s="103">
        <v>17317</v>
      </c>
      <c r="Z801" s="114">
        <f t="shared" si="113"/>
        <v>41</v>
      </c>
    </row>
    <row r="802" spans="2:26" x14ac:dyDescent="0.25">
      <c r="B802" s="98" t="s">
        <v>2270</v>
      </c>
      <c r="F802" s="98" t="s">
        <v>2267</v>
      </c>
      <c r="G802" s="132">
        <v>41131</v>
      </c>
      <c r="H802" s="270">
        <v>10</v>
      </c>
      <c r="I802" s="270">
        <v>8</v>
      </c>
      <c r="J802" s="271">
        <v>2012</v>
      </c>
      <c r="K802" s="97" t="s">
        <v>56</v>
      </c>
      <c r="L802" s="97" t="s">
        <v>2268</v>
      </c>
      <c r="M802" s="97" t="s">
        <v>796</v>
      </c>
      <c r="N802" s="272">
        <v>1511.9991</v>
      </c>
      <c r="Q802" s="103">
        <v>10</v>
      </c>
      <c r="R802" s="135">
        <f t="shared" si="111"/>
        <v>12.599992499999999</v>
      </c>
      <c r="S802" s="5">
        <v>503.99969999999996</v>
      </c>
      <c r="T802" s="313">
        <f t="shared" si="114"/>
        <v>516.59969249999995</v>
      </c>
      <c r="U802" s="15">
        <f t="shared" si="115"/>
        <v>12.599992499999985</v>
      </c>
      <c r="V802" s="135">
        <f t="shared" si="112"/>
        <v>995.39940750000005</v>
      </c>
      <c r="W802" s="103">
        <v>17317</v>
      </c>
      <c r="Z802" s="114">
        <f t="shared" si="113"/>
        <v>41</v>
      </c>
    </row>
    <row r="803" spans="2:26" x14ac:dyDescent="0.25">
      <c r="B803" s="98" t="s">
        <v>2270</v>
      </c>
      <c r="F803" s="98" t="s">
        <v>2267</v>
      </c>
      <c r="G803" s="132">
        <v>41131</v>
      </c>
      <c r="H803" s="270">
        <v>10</v>
      </c>
      <c r="I803" s="270">
        <v>8</v>
      </c>
      <c r="J803" s="271">
        <v>2012</v>
      </c>
      <c r="K803" s="97" t="s">
        <v>56</v>
      </c>
      <c r="L803" s="97" t="s">
        <v>2268</v>
      </c>
      <c r="M803" s="97" t="s">
        <v>796</v>
      </c>
      <c r="N803" s="272">
        <v>1511.9991</v>
      </c>
      <c r="Q803" s="103">
        <v>10</v>
      </c>
      <c r="R803" s="135">
        <f t="shared" si="111"/>
        <v>12.599992499999999</v>
      </c>
      <c r="S803" s="5">
        <v>503.99969999999996</v>
      </c>
      <c r="T803" s="313">
        <f t="shared" si="114"/>
        <v>516.59969249999995</v>
      </c>
      <c r="U803" s="15">
        <f t="shared" si="115"/>
        <v>12.599992499999985</v>
      </c>
      <c r="V803" s="135">
        <f t="shared" si="112"/>
        <v>995.39940750000005</v>
      </c>
      <c r="W803" s="103">
        <v>17317</v>
      </c>
      <c r="Z803" s="114">
        <f t="shared" si="113"/>
        <v>41</v>
      </c>
    </row>
    <row r="804" spans="2:26" x14ac:dyDescent="0.25">
      <c r="B804" s="98" t="s">
        <v>2270</v>
      </c>
      <c r="F804" s="98" t="s">
        <v>2267</v>
      </c>
      <c r="G804" s="132">
        <v>41131</v>
      </c>
      <c r="H804" s="270">
        <v>10</v>
      </c>
      <c r="I804" s="270">
        <v>8</v>
      </c>
      <c r="J804" s="271">
        <v>2012</v>
      </c>
      <c r="K804" s="97" t="s">
        <v>56</v>
      </c>
      <c r="L804" s="97" t="s">
        <v>2268</v>
      </c>
      <c r="M804" s="97" t="s">
        <v>796</v>
      </c>
      <c r="N804" s="272">
        <v>1511.9991</v>
      </c>
      <c r="Q804" s="103">
        <v>10</v>
      </c>
      <c r="R804" s="135">
        <f t="shared" si="111"/>
        <v>12.599992499999999</v>
      </c>
      <c r="S804" s="5">
        <v>503.99969999999996</v>
      </c>
      <c r="T804" s="313">
        <f t="shared" si="114"/>
        <v>516.59969249999995</v>
      </c>
      <c r="U804" s="15">
        <f t="shared" si="115"/>
        <v>12.599992499999985</v>
      </c>
      <c r="V804" s="135">
        <f t="shared" si="112"/>
        <v>995.39940750000005</v>
      </c>
      <c r="W804" s="103">
        <v>17317</v>
      </c>
      <c r="Z804" s="114">
        <f t="shared" si="113"/>
        <v>41</v>
      </c>
    </row>
    <row r="805" spans="2:26" x14ac:dyDescent="0.25">
      <c r="B805" s="98" t="s">
        <v>2270</v>
      </c>
      <c r="F805" s="98" t="s">
        <v>2267</v>
      </c>
      <c r="G805" s="132">
        <v>41131</v>
      </c>
      <c r="H805" s="270">
        <v>10</v>
      </c>
      <c r="I805" s="270">
        <v>8</v>
      </c>
      <c r="J805" s="271">
        <v>2012</v>
      </c>
      <c r="K805" s="97" t="s">
        <v>56</v>
      </c>
      <c r="L805" s="97" t="s">
        <v>2268</v>
      </c>
      <c r="M805" s="97" t="s">
        <v>796</v>
      </c>
      <c r="N805" s="272">
        <v>1511.9991</v>
      </c>
      <c r="Q805" s="103">
        <v>10</v>
      </c>
      <c r="R805" s="135">
        <f t="shared" si="111"/>
        <v>12.599992499999999</v>
      </c>
      <c r="S805" s="5">
        <v>503.99969999999996</v>
      </c>
      <c r="T805" s="313">
        <f t="shared" si="114"/>
        <v>516.59969249999995</v>
      </c>
      <c r="U805" s="15">
        <f t="shared" si="115"/>
        <v>12.599992499999985</v>
      </c>
      <c r="V805" s="135">
        <f t="shared" si="112"/>
        <v>995.39940750000005</v>
      </c>
      <c r="W805" s="103">
        <v>17317</v>
      </c>
      <c r="Z805" s="114">
        <f t="shared" si="113"/>
        <v>41</v>
      </c>
    </row>
    <row r="806" spans="2:26" x14ac:dyDescent="0.25">
      <c r="B806" s="98" t="s">
        <v>2270</v>
      </c>
      <c r="F806" s="98" t="s">
        <v>2267</v>
      </c>
      <c r="G806" s="132">
        <v>41131</v>
      </c>
      <c r="H806" s="270">
        <v>10</v>
      </c>
      <c r="I806" s="270">
        <v>8</v>
      </c>
      <c r="J806" s="271">
        <v>2012</v>
      </c>
      <c r="K806" s="97" t="s">
        <v>56</v>
      </c>
      <c r="L806" s="97" t="s">
        <v>2268</v>
      </c>
      <c r="M806" s="97" t="s">
        <v>796</v>
      </c>
      <c r="N806" s="272">
        <v>1511.9991</v>
      </c>
      <c r="Q806" s="103">
        <v>10</v>
      </c>
      <c r="R806" s="135">
        <f t="shared" si="111"/>
        <v>12.599992499999999</v>
      </c>
      <c r="S806" s="5">
        <v>503.99969999999996</v>
      </c>
      <c r="T806" s="313">
        <f t="shared" si="114"/>
        <v>516.59969249999995</v>
      </c>
      <c r="U806" s="15">
        <f t="shared" si="115"/>
        <v>12.599992499999985</v>
      </c>
      <c r="V806" s="135">
        <f t="shared" si="112"/>
        <v>995.39940750000005</v>
      </c>
      <c r="W806" s="103">
        <v>17317</v>
      </c>
      <c r="Z806" s="114">
        <f t="shared" si="113"/>
        <v>41</v>
      </c>
    </row>
    <row r="807" spans="2:26" x14ac:dyDescent="0.25">
      <c r="B807" s="98" t="s">
        <v>2270</v>
      </c>
      <c r="F807" s="98" t="s">
        <v>2267</v>
      </c>
      <c r="G807" s="132">
        <v>41131</v>
      </c>
      <c r="H807" s="270">
        <v>10</v>
      </c>
      <c r="I807" s="270">
        <v>8</v>
      </c>
      <c r="J807" s="271">
        <v>2012</v>
      </c>
      <c r="K807" s="97" t="s">
        <v>56</v>
      </c>
      <c r="L807" s="97" t="s">
        <v>2268</v>
      </c>
      <c r="M807" s="97" t="s">
        <v>796</v>
      </c>
      <c r="N807" s="272">
        <v>1511.9991</v>
      </c>
      <c r="Q807" s="103">
        <v>10</v>
      </c>
      <c r="R807" s="135">
        <f t="shared" si="111"/>
        <v>12.599992499999999</v>
      </c>
      <c r="S807" s="5">
        <v>503.99969999999996</v>
      </c>
      <c r="T807" s="313">
        <f t="shared" si="114"/>
        <v>516.59969249999995</v>
      </c>
      <c r="U807" s="15">
        <f t="shared" si="115"/>
        <v>12.599992499999985</v>
      </c>
      <c r="V807" s="135">
        <f t="shared" si="112"/>
        <v>995.39940750000005</v>
      </c>
      <c r="W807" s="103">
        <v>17317</v>
      </c>
      <c r="Z807" s="114">
        <f t="shared" si="113"/>
        <v>41</v>
      </c>
    </row>
    <row r="808" spans="2:26" x14ac:dyDescent="0.25">
      <c r="B808" s="98" t="s">
        <v>2270</v>
      </c>
      <c r="F808" s="98" t="s">
        <v>2267</v>
      </c>
      <c r="G808" s="132">
        <v>41131</v>
      </c>
      <c r="H808" s="270">
        <v>10</v>
      </c>
      <c r="I808" s="270">
        <v>8</v>
      </c>
      <c r="J808" s="271">
        <v>2012</v>
      </c>
      <c r="K808" s="97" t="s">
        <v>56</v>
      </c>
      <c r="L808" s="97" t="s">
        <v>2268</v>
      </c>
      <c r="M808" s="97" t="s">
        <v>796</v>
      </c>
      <c r="N808" s="272">
        <v>1511.9991</v>
      </c>
      <c r="Q808" s="103">
        <v>10</v>
      </c>
      <c r="R808" s="135">
        <f t="shared" si="111"/>
        <v>12.599992499999999</v>
      </c>
      <c r="S808" s="5">
        <v>503.99969999999996</v>
      </c>
      <c r="T808" s="313">
        <f t="shared" si="114"/>
        <v>516.59969249999995</v>
      </c>
      <c r="U808" s="15">
        <f t="shared" si="115"/>
        <v>12.599992499999985</v>
      </c>
      <c r="V808" s="135">
        <f t="shared" si="112"/>
        <v>995.39940750000005</v>
      </c>
      <c r="W808" s="103">
        <v>17317</v>
      </c>
      <c r="Z808" s="114">
        <f t="shared" si="113"/>
        <v>41</v>
      </c>
    </row>
    <row r="809" spans="2:26" x14ac:dyDescent="0.25">
      <c r="B809" s="98" t="s">
        <v>2270</v>
      </c>
      <c r="F809" s="98" t="s">
        <v>2267</v>
      </c>
      <c r="G809" s="132">
        <v>41131</v>
      </c>
      <c r="H809" s="270">
        <v>10</v>
      </c>
      <c r="I809" s="270">
        <v>8</v>
      </c>
      <c r="J809" s="271">
        <v>2012</v>
      </c>
      <c r="K809" s="97" t="s">
        <v>56</v>
      </c>
      <c r="L809" s="97" t="s">
        <v>2268</v>
      </c>
      <c r="M809" s="97" t="s">
        <v>796</v>
      </c>
      <c r="N809" s="272">
        <v>1511.9991</v>
      </c>
      <c r="Q809" s="103">
        <v>10</v>
      </c>
      <c r="R809" s="135">
        <f t="shared" si="111"/>
        <v>12.599992499999999</v>
      </c>
      <c r="S809" s="5">
        <v>503.99969999999996</v>
      </c>
      <c r="T809" s="313">
        <f t="shared" si="114"/>
        <v>516.59969249999995</v>
      </c>
      <c r="U809" s="15">
        <f t="shared" si="115"/>
        <v>12.599992499999985</v>
      </c>
      <c r="V809" s="135">
        <f t="shared" si="112"/>
        <v>995.39940750000005</v>
      </c>
      <c r="W809" s="103">
        <v>17317</v>
      </c>
      <c r="Z809" s="114">
        <f t="shared" si="113"/>
        <v>41</v>
      </c>
    </row>
    <row r="810" spans="2:26" x14ac:dyDescent="0.25">
      <c r="B810" s="98" t="s">
        <v>2270</v>
      </c>
      <c r="F810" s="98" t="s">
        <v>2267</v>
      </c>
      <c r="G810" s="132">
        <v>41131</v>
      </c>
      <c r="H810" s="270">
        <v>10</v>
      </c>
      <c r="I810" s="270">
        <v>8</v>
      </c>
      <c r="J810" s="271">
        <v>2012</v>
      </c>
      <c r="K810" s="97" t="s">
        <v>56</v>
      </c>
      <c r="L810" s="97" t="s">
        <v>2268</v>
      </c>
      <c r="M810" s="97" t="s">
        <v>796</v>
      </c>
      <c r="N810" s="272">
        <v>1511.9991</v>
      </c>
      <c r="Q810" s="103">
        <v>10</v>
      </c>
      <c r="R810" s="135">
        <f t="shared" si="111"/>
        <v>12.599992499999999</v>
      </c>
      <c r="S810" s="5">
        <v>503.99969999999996</v>
      </c>
      <c r="T810" s="313">
        <f t="shared" si="114"/>
        <v>516.59969249999995</v>
      </c>
      <c r="U810" s="15">
        <f t="shared" si="115"/>
        <v>12.599992499999985</v>
      </c>
      <c r="V810" s="135">
        <f t="shared" si="112"/>
        <v>995.39940750000005</v>
      </c>
      <c r="W810" s="103">
        <v>17317</v>
      </c>
      <c r="Z810" s="114">
        <f t="shared" si="113"/>
        <v>41</v>
      </c>
    </row>
    <row r="811" spans="2:26" x14ac:dyDescent="0.25">
      <c r="B811" s="98" t="s">
        <v>2270</v>
      </c>
      <c r="F811" s="98" t="s">
        <v>2267</v>
      </c>
      <c r="G811" s="132">
        <v>41131</v>
      </c>
      <c r="H811" s="270">
        <v>10</v>
      </c>
      <c r="I811" s="270">
        <v>8</v>
      </c>
      <c r="J811" s="271">
        <v>2012</v>
      </c>
      <c r="K811" s="97" t="s">
        <v>56</v>
      </c>
      <c r="L811" s="97" t="s">
        <v>2268</v>
      </c>
      <c r="M811" s="97" t="s">
        <v>796</v>
      </c>
      <c r="N811" s="272">
        <v>1511.9991</v>
      </c>
      <c r="Q811" s="103">
        <v>10</v>
      </c>
      <c r="R811" s="135">
        <f t="shared" si="111"/>
        <v>12.599992499999999</v>
      </c>
      <c r="S811" s="5">
        <v>503.99969999999996</v>
      </c>
      <c r="T811" s="313">
        <f t="shared" si="114"/>
        <v>516.59969249999995</v>
      </c>
      <c r="U811" s="15">
        <f t="shared" si="115"/>
        <v>12.599992499999985</v>
      </c>
      <c r="V811" s="135">
        <f t="shared" si="112"/>
        <v>995.39940750000005</v>
      </c>
      <c r="W811" s="103">
        <v>17317</v>
      </c>
      <c r="Z811" s="114">
        <f t="shared" si="113"/>
        <v>41</v>
      </c>
    </row>
    <row r="812" spans="2:26" x14ac:dyDescent="0.25">
      <c r="B812" s="98" t="s">
        <v>2270</v>
      </c>
      <c r="F812" s="98" t="s">
        <v>2267</v>
      </c>
      <c r="G812" s="132">
        <v>41131</v>
      </c>
      <c r="H812" s="270">
        <v>10</v>
      </c>
      <c r="I812" s="270">
        <v>8</v>
      </c>
      <c r="J812" s="271">
        <v>2012</v>
      </c>
      <c r="K812" s="97" t="s">
        <v>56</v>
      </c>
      <c r="L812" s="97" t="s">
        <v>2268</v>
      </c>
      <c r="M812" s="97" t="s">
        <v>796</v>
      </c>
      <c r="N812" s="272">
        <v>1511.9991</v>
      </c>
      <c r="Q812" s="103">
        <v>10</v>
      </c>
      <c r="R812" s="135">
        <f t="shared" si="111"/>
        <v>12.599992499999999</v>
      </c>
      <c r="S812" s="5">
        <v>503.99969999999996</v>
      </c>
      <c r="T812" s="313">
        <f t="shared" si="114"/>
        <v>516.59969249999995</v>
      </c>
      <c r="U812" s="15">
        <f t="shared" si="115"/>
        <v>12.599992499999985</v>
      </c>
      <c r="V812" s="135">
        <f t="shared" si="112"/>
        <v>995.39940750000005</v>
      </c>
      <c r="W812" s="103">
        <v>17317</v>
      </c>
      <c r="Z812" s="114">
        <f t="shared" si="113"/>
        <v>41</v>
      </c>
    </row>
    <row r="813" spans="2:26" x14ac:dyDescent="0.25">
      <c r="B813" s="98" t="s">
        <v>2270</v>
      </c>
      <c r="F813" s="98" t="s">
        <v>2267</v>
      </c>
      <c r="G813" s="132">
        <v>41131</v>
      </c>
      <c r="H813" s="270">
        <v>10</v>
      </c>
      <c r="I813" s="270">
        <v>8</v>
      </c>
      <c r="J813" s="271">
        <v>2012</v>
      </c>
      <c r="K813" s="97" t="s">
        <v>56</v>
      </c>
      <c r="L813" s="97" t="s">
        <v>2268</v>
      </c>
      <c r="M813" s="97" t="s">
        <v>796</v>
      </c>
      <c r="N813" s="272">
        <v>1511.9991</v>
      </c>
      <c r="Q813" s="103">
        <v>10</v>
      </c>
      <c r="R813" s="135">
        <f t="shared" si="111"/>
        <v>12.599992499999999</v>
      </c>
      <c r="S813" s="5">
        <v>503.99969999999996</v>
      </c>
      <c r="T813" s="313">
        <f t="shared" si="114"/>
        <v>516.59969249999995</v>
      </c>
      <c r="U813" s="15">
        <f t="shared" si="115"/>
        <v>12.599992499999985</v>
      </c>
      <c r="V813" s="135">
        <f t="shared" si="112"/>
        <v>995.39940750000005</v>
      </c>
      <c r="W813" s="103">
        <v>17317</v>
      </c>
      <c r="Z813" s="114">
        <f t="shared" si="113"/>
        <v>41</v>
      </c>
    </row>
    <row r="814" spans="2:26" x14ac:dyDescent="0.25">
      <c r="B814" s="98" t="s">
        <v>2270</v>
      </c>
      <c r="F814" s="98" t="s">
        <v>2267</v>
      </c>
      <c r="G814" s="132">
        <v>41131</v>
      </c>
      <c r="H814" s="270">
        <v>10</v>
      </c>
      <c r="I814" s="270">
        <v>8</v>
      </c>
      <c r="J814" s="271">
        <v>2012</v>
      </c>
      <c r="K814" s="97" t="s">
        <v>56</v>
      </c>
      <c r="L814" s="97" t="s">
        <v>2268</v>
      </c>
      <c r="M814" s="97" t="s">
        <v>796</v>
      </c>
      <c r="N814" s="272">
        <v>1511.9991</v>
      </c>
      <c r="Q814" s="103">
        <v>10</v>
      </c>
      <c r="R814" s="135">
        <f t="shared" si="111"/>
        <v>12.599992499999999</v>
      </c>
      <c r="S814" s="5">
        <v>503.99969999999996</v>
      </c>
      <c r="T814" s="313">
        <f t="shared" si="114"/>
        <v>516.59969249999995</v>
      </c>
      <c r="U814" s="15">
        <f t="shared" si="115"/>
        <v>12.599992499999985</v>
      </c>
      <c r="V814" s="135">
        <f t="shared" si="112"/>
        <v>995.39940750000005</v>
      </c>
      <c r="W814" s="103">
        <v>17317</v>
      </c>
      <c r="Z814" s="114">
        <f t="shared" si="113"/>
        <v>41</v>
      </c>
    </row>
    <row r="815" spans="2:26" x14ac:dyDescent="0.25">
      <c r="B815" s="98" t="s">
        <v>2270</v>
      </c>
      <c r="F815" s="98" t="s">
        <v>2267</v>
      </c>
      <c r="G815" s="132">
        <v>41131</v>
      </c>
      <c r="H815" s="270">
        <v>10</v>
      </c>
      <c r="I815" s="270">
        <v>8</v>
      </c>
      <c r="J815" s="271">
        <v>2012</v>
      </c>
      <c r="K815" s="97" t="s">
        <v>56</v>
      </c>
      <c r="L815" s="97" t="s">
        <v>2268</v>
      </c>
      <c r="M815" s="97" t="s">
        <v>796</v>
      </c>
      <c r="N815" s="272">
        <v>1511.9991</v>
      </c>
      <c r="Q815" s="103">
        <v>10</v>
      </c>
      <c r="R815" s="135">
        <f t="shared" si="111"/>
        <v>12.599992499999999</v>
      </c>
      <c r="S815" s="5">
        <v>503.99969999999996</v>
      </c>
      <c r="T815" s="313">
        <f t="shared" si="114"/>
        <v>516.59969249999995</v>
      </c>
      <c r="U815" s="15">
        <f t="shared" si="115"/>
        <v>12.599992499999985</v>
      </c>
      <c r="V815" s="135">
        <f t="shared" si="112"/>
        <v>995.39940750000005</v>
      </c>
      <c r="W815" s="103">
        <v>17317</v>
      </c>
      <c r="Z815" s="114">
        <f t="shared" si="113"/>
        <v>41</v>
      </c>
    </row>
    <row r="816" spans="2:26" x14ac:dyDescent="0.25">
      <c r="B816" s="98" t="s">
        <v>2270</v>
      </c>
      <c r="F816" s="98" t="s">
        <v>2267</v>
      </c>
      <c r="G816" s="132">
        <v>41131</v>
      </c>
      <c r="H816" s="270">
        <v>10</v>
      </c>
      <c r="I816" s="270">
        <v>8</v>
      </c>
      <c r="J816" s="271">
        <v>2012</v>
      </c>
      <c r="K816" s="97" t="s">
        <v>56</v>
      </c>
      <c r="L816" s="97" t="s">
        <v>2268</v>
      </c>
      <c r="M816" s="97" t="s">
        <v>796</v>
      </c>
      <c r="N816" s="272">
        <v>1511.9991</v>
      </c>
      <c r="Q816" s="103">
        <v>10</v>
      </c>
      <c r="R816" s="135">
        <f t="shared" si="111"/>
        <v>12.599992499999999</v>
      </c>
      <c r="S816" s="5">
        <v>503.99969999999996</v>
      </c>
      <c r="T816" s="313">
        <f t="shared" si="114"/>
        <v>516.59969249999995</v>
      </c>
      <c r="U816" s="15">
        <f t="shared" si="115"/>
        <v>12.599992499999985</v>
      </c>
      <c r="V816" s="135">
        <f t="shared" si="112"/>
        <v>995.39940750000005</v>
      </c>
      <c r="W816" s="103">
        <v>17317</v>
      </c>
      <c r="Z816" s="114">
        <f t="shared" si="113"/>
        <v>41</v>
      </c>
    </row>
    <row r="817" spans="2:26" x14ac:dyDescent="0.25">
      <c r="B817" s="98" t="s">
        <v>2270</v>
      </c>
      <c r="F817" s="98" t="s">
        <v>2267</v>
      </c>
      <c r="G817" s="132">
        <v>41131</v>
      </c>
      <c r="H817" s="270">
        <v>10</v>
      </c>
      <c r="I817" s="270">
        <v>8</v>
      </c>
      <c r="J817" s="271">
        <v>2012</v>
      </c>
      <c r="K817" s="97" t="s">
        <v>56</v>
      </c>
      <c r="L817" s="97" t="s">
        <v>2268</v>
      </c>
      <c r="M817" s="97" t="s">
        <v>796</v>
      </c>
      <c r="N817" s="272">
        <v>1511.9991</v>
      </c>
      <c r="Q817" s="103">
        <v>10</v>
      </c>
      <c r="R817" s="135">
        <f t="shared" si="111"/>
        <v>12.599992499999999</v>
      </c>
      <c r="S817" s="5">
        <v>503.99969999999996</v>
      </c>
      <c r="T817" s="313">
        <f t="shared" si="114"/>
        <v>516.59969249999995</v>
      </c>
      <c r="U817" s="15">
        <f t="shared" si="115"/>
        <v>12.599992499999985</v>
      </c>
      <c r="V817" s="135">
        <f t="shared" si="112"/>
        <v>995.39940750000005</v>
      </c>
      <c r="W817" s="103">
        <v>17317</v>
      </c>
      <c r="Z817" s="114">
        <f t="shared" si="113"/>
        <v>41</v>
      </c>
    </row>
    <row r="818" spans="2:26" x14ac:dyDescent="0.25">
      <c r="B818" s="98" t="s">
        <v>2270</v>
      </c>
      <c r="F818" s="98" t="s">
        <v>2267</v>
      </c>
      <c r="G818" s="132">
        <v>41131</v>
      </c>
      <c r="H818" s="270">
        <v>10</v>
      </c>
      <c r="I818" s="270">
        <v>8</v>
      </c>
      <c r="J818" s="271">
        <v>2012</v>
      </c>
      <c r="K818" s="97" t="s">
        <v>56</v>
      </c>
      <c r="L818" s="97" t="s">
        <v>2268</v>
      </c>
      <c r="M818" s="97" t="s">
        <v>796</v>
      </c>
      <c r="N818" s="272">
        <v>1511.9991</v>
      </c>
      <c r="Q818" s="103">
        <v>10</v>
      </c>
      <c r="R818" s="135">
        <f t="shared" si="111"/>
        <v>12.599992499999999</v>
      </c>
      <c r="S818" s="5">
        <v>503.99969999999996</v>
      </c>
      <c r="T818" s="313">
        <f t="shared" si="114"/>
        <v>516.59969249999995</v>
      </c>
      <c r="U818" s="15">
        <f t="shared" si="115"/>
        <v>12.599992499999985</v>
      </c>
      <c r="V818" s="135">
        <f t="shared" si="112"/>
        <v>995.39940750000005</v>
      </c>
      <c r="W818" s="103">
        <v>17317</v>
      </c>
      <c r="Z818" s="114">
        <f t="shared" si="113"/>
        <v>41</v>
      </c>
    </row>
    <row r="819" spans="2:26" x14ac:dyDescent="0.25">
      <c r="B819" s="98" t="s">
        <v>2270</v>
      </c>
      <c r="F819" s="98" t="s">
        <v>2267</v>
      </c>
      <c r="G819" s="132">
        <v>41131</v>
      </c>
      <c r="H819" s="270">
        <v>10</v>
      </c>
      <c r="I819" s="270">
        <v>8</v>
      </c>
      <c r="J819" s="271">
        <v>2012</v>
      </c>
      <c r="K819" s="97" t="s">
        <v>56</v>
      </c>
      <c r="L819" s="97" t="s">
        <v>2268</v>
      </c>
      <c r="M819" s="97" t="s">
        <v>796</v>
      </c>
      <c r="N819" s="272">
        <v>1511.9991</v>
      </c>
      <c r="Q819" s="103">
        <v>10</v>
      </c>
      <c r="R819" s="135">
        <f t="shared" si="111"/>
        <v>12.599992499999999</v>
      </c>
      <c r="S819" s="5">
        <v>503.99969999999996</v>
      </c>
      <c r="T819" s="313">
        <f t="shared" si="114"/>
        <v>516.59969249999995</v>
      </c>
      <c r="U819" s="15">
        <f t="shared" si="115"/>
        <v>12.599992499999985</v>
      </c>
      <c r="V819" s="135">
        <f t="shared" si="112"/>
        <v>995.39940750000005</v>
      </c>
      <c r="W819" s="103">
        <v>17317</v>
      </c>
      <c r="Z819" s="114">
        <f t="shared" si="113"/>
        <v>41</v>
      </c>
    </row>
    <row r="820" spans="2:26" x14ac:dyDescent="0.25">
      <c r="B820" s="98" t="s">
        <v>2270</v>
      </c>
      <c r="F820" s="98" t="s">
        <v>2267</v>
      </c>
      <c r="G820" s="132">
        <v>41131</v>
      </c>
      <c r="H820" s="270">
        <v>10</v>
      </c>
      <c r="I820" s="270">
        <v>8</v>
      </c>
      <c r="J820" s="271">
        <v>2012</v>
      </c>
      <c r="K820" s="97" t="s">
        <v>56</v>
      </c>
      <c r="L820" s="97" t="s">
        <v>2268</v>
      </c>
      <c r="M820" s="97" t="s">
        <v>796</v>
      </c>
      <c r="N820" s="272">
        <v>1511.9991</v>
      </c>
      <c r="Q820" s="103">
        <v>10</v>
      </c>
      <c r="R820" s="135">
        <f t="shared" si="111"/>
        <v>12.599992499999999</v>
      </c>
      <c r="S820" s="5">
        <v>503.99969999999996</v>
      </c>
      <c r="T820" s="313">
        <f t="shared" si="114"/>
        <v>516.59969249999995</v>
      </c>
      <c r="U820" s="15">
        <f t="shared" si="115"/>
        <v>12.599992499999985</v>
      </c>
      <c r="V820" s="135">
        <f t="shared" si="112"/>
        <v>995.39940750000005</v>
      </c>
      <c r="W820" s="103">
        <v>17317</v>
      </c>
      <c r="Z820" s="114">
        <f t="shared" si="113"/>
        <v>41</v>
      </c>
    </row>
    <row r="821" spans="2:26" x14ac:dyDescent="0.25">
      <c r="B821" s="98" t="s">
        <v>2270</v>
      </c>
      <c r="F821" s="98" t="s">
        <v>2267</v>
      </c>
      <c r="G821" s="132">
        <v>41131</v>
      </c>
      <c r="H821" s="270">
        <v>10</v>
      </c>
      <c r="I821" s="270">
        <v>8</v>
      </c>
      <c r="J821" s="271">
        <v>2012</v>
      </c>
      <c r="K821" s="97" t="s">
        <v>56</v>
      </c>
      <c r="L821" s="97" t="s">
        <v>2268</v>
      </c>
      <c r="M821" s="97" t="s">
        <v>796</v>
      </c>
      <c r="N821" s="272">
        <v>1511.9991</v>
      </c>
      <c r="Q821" s="103">
        <v>10</v>
      </c>
      <c r="R821" s="135">
        <f t="shared" si="111"/>
        <v>12.599992499999999</v>
      </c>
      <c r="S821" s="5">
        <v>503.99969999999996</v>
      </c>
      <c r="T821" s="313">
        <f t="shared" si="114"/>
        <v>516.59969249999995</v>
      </c>
      <c r="U821" s="15">
        <f t="shared" si="115"/>
        <v>12.599992499999985</v>
      </c>
      <c r="V821" s="135">
        <f t="shared" si="112"/>
        <v>995.39940750000005</v>
      </c>
      <c r="W821" s="103">
        <v>17317</v>
      </c>
      <c r="Z821" s="114">
        <f t="shared" si="113"/>
        <v>41</v>
      </c>
    </row>
    <row r="822" spans="2:26" x14ac:dyDescent="0.25">
      <c r="B822" s="98" t="s">
        <v>2270</v>
      </c>
      <c r="F822" s="98" t="s">
        <v>2267</v>
      </c>
      <c r="G822" s="132">
        <v>41131</v>
      </c>
      <c r="H822" s="270">
        <v>10</v>
      </c>
      <c r="I822" s="270">
        <v>8</v>
      </c>
      <c r="J822" s="271">
        <v>2012</v>
      </c>
      <c r="K822" s="97" t="s">
        <v>56</v>
      </c>
      <c r="L822" s="97" t="s">
        <v>2268</v>
      </c>
      <c r="M822" s="97" t="s">
        <v>796</v>
      </c>
      <c r="N822" s="272">
        <v>1511.9991</v>
      </c>
      <c r="Q822" s="103">
        <v>10</v>
      </c>
      <c r="R822" s="135">
        <f t="shared" si="111"/>
        <v>12.599992499999999</v>
      </c>
      <c r="S822" s="5">
        <v>503.99969999999996</v>
      </c>
      <c r="T822" s="313">
        <f t="shared" si="114"/>
        <v>516.59969249999995</v>
      </c>
      <c r="U822" s="15">
        <f t="shared" si="115"/>
        <v>12.599992499999985</v>
      </c>
      <c r="V822" s="135">
        <f t="shared" si="112"/>
        <v>995.39940750000005</v>
      </c>
      <c r="W822" s="103">
        <v>17317</v>
      </c>
      <c r="Z822" s="114">
        <f t="shared" si="113"/>
        <v>41</v>
      </c>
    </row>
    <row r="823" spans="2:26" x14ac:dyDescent="0.25">
      <c r="B823" s="98" t="s">
        <v>2270</v>
      </c>
      <c r="F823" s="98" t="s">
        <v>2267</v>
      </c>
      <c r="G823" s="132">
        <v>41131</v>
      </c>
      <c r="H823" s="270">
        <v>10</v>
      </c>
      <c r="I823" s="270">
        <v>8</v>
      </c>
      <c r="J823" s="271">
        <v>2012</v>
      </c>
      <c r="K823" s="97" t="s">
        <v>56</v>
      </c>
      <c r="L823" s="97" t="s">
        <v>2268</v>
      </c>
      <c r="M823" s="97" t="s">
        <v>796</v>
      </c>
      <c r="N823" s="272">
        <v>1511.9991</v>
      </c>
      <c r="Q823" s="103">
        <v>10</v>
      </c>
      <c r="R823" s="135">
        <f t="shared" si="111"/>
        <v>12.599992499999999</v>
      </c>
      <c r="S823" s="5">
        <v>503.99969999999996</v>
      </c>
      <c r="T823" s="313">
        <f t="shared" si="114"/>
        <v>516.59969249999995</v>
      </c>
      <c r="U823" s="15">
        <f t="shared" si="115"/>
        <v>12.599992499999985</v>
      </c>
      <c r="V823" s="135">
        <f t="shared" si="112"/>
        <v>995.39940750000005</v>
      </c>
      <c r="W823" s="103">
        <v>17317</v>
      </c>
      <c r="Z823" s="114">
        <f t="shared" si="113"/>
        <v>41</v>
      </c>
    </row>
    <row r="824" spans="2:26" x14ac:dyDescent="0.25">
      <c r="B824" s="98" t="s">
        <v>2270</v>
      </c>
      <c r="F824" s="98" t="s">
        <v>2267</v>
      </c>
      <c r="G824" s="132">
        <v>41131</v>
      </c>
      <c r="H824" s="270">
        <v>10</v>
      </c>
      <c r="I824" s="270">
        <v>8</v>
      </c>
      <c r="J824" s="271">
        <v>2012</v>
      </c>
      <c r="K824" s="97" t="s">
        <v>56</v>
      </c>
      <c r="L824" s="97" t="s">
        <v>2268</v>
      </c>
      <c r="M824" s="97" t="s">
        <v>796</v>
      </c>
      <c r="N824" s="272">
        <v>1511.9991</v>
      </c>
      <c r="Q824" s="103">
        <v>10</v>
      </c>
      <c r="R824" s="135">
        <f t="shared" si="111"/>
        <v>12.599992499999999</v>
      </c>
      <c r="S824" s="5">
        <v>503.99969999999996</v>
      </c>
      <c r="T824" s="313">
        <f t="shared" si="114"/>
        <v>516.59969249999995</v>
      </c>
      <c r="U824" s="15">
        <f t="shared" si="115"/>
        <v>12.599992499999985</v>
      </c>
      <c r="V824" s="135">
        <f t="shared" si="112"/>
        <v>995.39940750000005</v>
      </c>
      <c r="W824" s="103">
        <v>17317</v>
      </c>
      <c r="Z824" s="114">
        <f t="shared" si="113"/>
        <v>41</v>
      </c>
    </row>
    <row r="825" spans="2:26" x14ac:dyDescent="0.25">
      <c r="B825" s="98" t="s">
        <v>2270</v>
      </c>
      <c r="F825" s="98" t="s">
        <v>2267</v>
      </c>
      <c r="G825" s="132">
        <v>41131</v>
      </c>
      <c r="H825" s="270">
        <v>10</v>
      </c>
      <c r="I825" s="270">
        <v>8</v>
      </c>
      <c r="J825" s="271">
        <v>2012</v>
      </c>
      <c r="K825" s="97" t="s">
        <v>56</v>
      </c>
      <c r="L825" s="97" t="s">
        <v>2268</v>
      </c>
      <c r="M825" s="97" t="s">
        <v>796</v>
      </c>
      <c r="N825" s="272">
        <v>1511.9991</v>
      </c>
      <c r="Q825" s="103">
        <v>10</v>
      </c>
      <c r="R825" s="135">
        <f t="shared" si="111"/>
        <v>12.599992499999999</v>
      </c>
      <c r="S825" s="5">
        <v>503.99969999999996</v>
      </c>
      <c r="T825" s="313">
        <f t="shared" si="114"/>
        <v>516.59969249999995</v>
      </c>
      <c r="U825" s="15">
        <f t="shared" si="115"/>
        <v>12.599992499999985</v>
      </c>
      <c r="V825" s="135">
        <f t="shared" si="112"/>
        <v>995.39940750000005</v>
      </c>
      <c r="W825" s="103">
        <v>17317</v>
      </c>
      <c r="Z825" s="114">
        <f t="shared" si="113"/>
        <v>41</v>
      </c>
    </row>
    <row r="826" spans="2:26" x14ac:dyDescent="0.25">
      <c r="B826" s="98" t="s">
        <v>2270</v>
      </c>
      <c r="F826" s="98" t="s">
        <v>2267</v>
      </c>
      <c r="G826" s="132">
        <v>41131</v>
      </c>
      <c r="H826" s="270">
        <v>10</v>
      </c>
      <c r="I826" s="270">
        <v>8</v>
      </c>
      <c r="J826" s="271">
        <v>2012</v>
      </c>
      <c r="K826" s="97" t="s">
        <v>56</v>
      </c>
      <c r="L826" s="97" t="s">
        <v>2268</v>
      </c>
      <c r="M826" s="97" t="s">
        <v>796</v>
      </c>
      <c r="N826" s="272">
        <v>1511.9991</v>
      </c>
      <c r="Q826" s="103">
        <v>10</v>
      </c>
      <c r="R826" s="135">
        <f t="shared" si="111"/>
        <v>12.599992499999999</v>
      </c>
      <c r="S826" s="5">
        <v>503.99969999999996</v>
      </c>
      <c r="T826" s="313">
        <f t="shared" si="114"/>
        <v>516.59969249999995</v>
      </c>
      <c r="U826" s="15">
        <f t="shared" si="115"/>
        <v>12.599992499999985</v>
      </c>
      <c r="V826" s="135">
        <f t="shared" si="112"/>
        <v>995.39940750000005</v>
      </c>
      <c r="W826" s="103">
        <v>17317</v>
      </c>
      <c r="Z826" s="114">
        <f t="shared" si="113"/>
        <v>41</v>
      </c>
    </row>
    <row r="827" spans="2:26" x14ac:dyDescent="0.25">
      <c r="B827" s="98" t="s">
        <v>2270</v>
      </c>
      <c r="F827" s="98" t="s">
        <v>2267</v>
      </c>
      <c r="G827" s="132">
        <v>41131</v>
      </c>
      <c r="H827" s="270">
        <v>10</v>
      </c>
      <c r="I827" s="270">
        <v>8</v>
      </c>
      <c r="J827" s="271">
        <v>2012</v>
      </c>
      <c r="K827" s="97" t="s">
        <v>56</v>
      </c>
      <c r="L827" s="97" t="s">
        <v>2268</v>
      </c>
      <c r="M827" s="97" t="s">
        <v>796</v>
      </c>
      <c r="N827" s="272">
        <v>1511.9991</v>
      </c>
      <c r="Q827" s="103">
        <v>10</v>
      </c>
      <c r="R827" s="135">
        <f t="shared" si="111"/>
        <v>12.599992499999999</v>
      </c>
      <c r="S827" s="5">
        <v>503.99969999999996</v>
      </c>
      <c r="T827" s="313">
        <f t="shared" si="114"/>
        <v>516.59969249999995</v>
      </c>
      <c r="U827" s="15">
        <f t="shared" si="115"/>
        <v>12.599992499999985</v>
      </c>
      <c r="V827" s="135">
        <f t="shared" si="112"/>
        <v>995.39940750000005</v>
      </c>
      <c r="W827" s="103">
        <v>17317</v>
      </c>
      <c r="Z827" s="114">
        <f t="shared" si="113"/>
        <v>41</v>
      </c>
    </row>
    <row r="828" spans="2:26" x14ac:dyDescent="0.25">
      <c r="B828" s="98" t="s">
        <v>2271</v>
      </c>
      <c r="F828" s="98" t="s">
        <v>2267</v>
      </c>
      <c r="G828" s="132">
        <v>41131</v>
      </c>
      <c r="H828" s="270">
        <v>10</v>
      </c>
      <c r="I828" s="270">
        <v>8</v>
      </c>
      <c r="J828" s="271">
        <v>2012</v>
      </c>
      <c r="K828" s="97" t="s">
        <v>56</v>
      </c>
      <c r="L828" s="97" t="s">
        <v>2268</v>
      </c>
      <c r="M828" s="97" t="s">
        <v>796</v>
      </c>
      <c r="N828" s="272">
        <v>3509.9989920000003</v>
      </c>
      <c r="Q828" s="103">
        <v>10</v>
      </c>
      <c r="R828" s="135">
        <f t="shared" si="111"/>
        <v>29.249991600000001</v>
      </c>
      <c r="S828" s="5">
        <v>1169.9996639999999</v>
      </c>
      <c r="T828" s="313">
        <f t="shared" si="114"/>
        <v>1199.2496556000001</v>
      </c>
      <c r="U828" s="15">
        <f t="shared" si="115"/>
        <v>29.249991600000158</v>
      </c>
      <c r="V828" s="135">
        <f t="shared" si="112"/>
        <v>2310.7493364000002</v>
      </c>
      <c r="W828" s="103">
        <v>17317</v>
      </c>
      <c r="Z828" s="114">
        <f t="shared" si="113"/>
        <v>41</v>
      </c>
    </row>
    <row r="829" spans="2:26" x14ac:dyDescent="0.25">
      <c r="B829" s="98" t="s">
        <v>2271</v>
      </c>
      <c r="F829" s="98" t="s">
        <v>2267</v>
      </c>
      <c r="G829" s="132">
        <v>41131</v>
      </c>
      <c r="H829" s="270">
        <v>10</v>
      </c>
      <c r="I829" s="270">
        <v>8</v>
      </c>
      <c r="J829" s="271">
        <v>2012</v>
      </c>
      <c r="K829" s="97" t="s">
        <v>56</v>
      </c>
      <c r="L829" s="97" t="s">
        <v>2268</v>
      </c>
      <c r="M829" s="97" t="s">
        <v>796</v>
      </c>
      <c r="N829" s="272">
        <v>3509.9989920000003</v>
      </c>
      <c r="Q829" s="103">
        <v>10</v>
      </c>
      <c r="R829" s="135">
        <f t="shared" si="111"/>
        <v>29.249991600000001</v>
      </c>
      <c r="S829" s="5">
        <v>1169.9996639999999</v>
      </c>
      <c r="T829" s="313">
        <f t="shared" si="114"/>
        <v>1199.2496556000001</v>
      </c>
      <c r="U829" s="15">
        <f t="shared" si="115"/>
        <v>29.249991600000158</v>
      </c>
      <c r="V829" s="135">
        <f t="shared" si="112"/>
        <v>2310.7493364000002</v>
      </c>
      <c r="W829" s="103">
        <v>17317</v>
      </c>
      <c r="Z829" s="114">
        <f t="shared" si="113"/>
        <v>41</v>
      </c>
    </row>
    <row r="830" spans="2:26" x14ac:dyDescent="0.25">
      <c r="B830" s="98" t="s">
        <v>2271</v>
      </c>
      <c r="F830" s="98" t="s">
        <v>2267</v>
      </c>
      <c r="G830" s="132">
        <v>41131</v>
      </c>
      <c r="H830" s="270">
        <v>10</v>
      </c>
      <c r="I830" s="270">
        <v>8</v>
      </c>
      <c r="J830" s="271">
        <v>2012</v>
      </c>
      <c r="K830" s="97" t="s">
        <v>56</v>
      </c>
      <c r="L830" s="97" t="s">
        <v>2268</v>
      </c>
      <c r="M830" s="97" t="s">
        <v>796</v>
      </c>
      <c r="N830" s="272">
        <v>3509.9989920000003</v>
      </c>
      <c r="Q830" s="103">
        <v>10</v>
      </c>
      <c r="R830" s="135">
        <f t="shared" si="111"/>
        <v>29.249991600000001</v>
      </c>
      <c r="S830" s="5">
        <v>1169.9996639999999</v>
      </c>
      <c r="T830" s="313">
        <f t="shared" si="114"/>
        <v>1199.2496556000001</v>
      </c>
      <c r="U830" s="15">
        <f t="shared" si="115"/>
        <v>29.249991600000158</v>
      </c>
      <c r="V830" s="135">
        <f t="shared" si="112"/>
        <v>2310.7493364000002</v>
      </c>
      <c r="W830" s="103">
        <v>17317</v>
      </c>
      <c r="Z830" s="114">
        <f t="shared" si="113"/>
        <v>41</v>
      </c>
    </row>
    <row r="831" spans="2:26" x14ac:dyDescent="0.25">
      <c r="B831" s="98" t="s">
        <v>2271</v>
      </c>
      <c r="F831" s="98" t="s">
        <v>2267</v>
      </c>
      <c r="G831" s="132">
        <v>41131</v>
      </c>
      <c r="H831" s="270">
        <v>10</v>
      </c>
      <c r="I831" s="270">
        <v>8</v>
      </c>
      <c r="J831" s="271">
        <v>2012</v>
      </c>
      <c r="K831" s="97" t="s">
        <v>56</v>
      </c>
      <c r="L831" s="97" t="s">
        <v>2268</v>
      </c>
      <c r="M831" s="97" t="s">
        <v>796</v>
      </c>
      <c r="N831" s="272">
        <v>3509.9989920000003</v>
      </c>
      <c r="Q831" s="103">
        <v>10</v>
      </c>
      <c r="R831" s="135">
        <f t="shared" si="111"/>
        <v>29.249991600000001</v>
      </c>
      <c r="S831" s="5">
        <v>1169.9996639999999</v>
      </c>
      <c r="T831" s="313">
        <f t="shared" si="114"/>
        <v>1199.2496556000001</v>
      </c>
      <c r="U831" s="15">
        <f t="shared" si="115"/>
        <v>29.249991600000158</v>
      </c>
      <c r="V831" s="135">
        <f t="shared" si="112"/>
        <v>2310.7493364000002</v>
      </c>
      <c r="W831" s="103">
        <v>17317</v>
      </c>
      <c r="Z831" s="114">
        <f t="shared" si="113"/>
        <v>41</v>
      </c>
    </row>
    <row r="832" spans="2:26" x14ac:dyDescent="0.25">
      <c r="B832" s="98" t="s">
        <v>2271</v>
      </c>
      <c r="F832" s="98" t="s">
        <v>2267</v>
      </c>
      <c r="G832" s="132">
        <v>41131</v>
      </c>
      <c r="H832" s="270">
        <v>10</v>
      </c>
      <c r="I832" s="270">
        <v>8</v>
      </c>
      <c r="J832" s="271">
        <v>2012</v>
      </c>
      <c r="K832" s="97" t="s">
        <v>56</v>
      </c>
      <c r="L832" s="97" t="s">
        <v>2268</v>
      </c>
      <c r="M832" s="97" t="s">
        <v>796</v>
      </c>
      <c r="N832" s="272">
        <v>3509.9989920000003</v>
      </c>
      <c r="Q832" s="103">
        <v>10</v>
      </c>
      <c r="R832" s="135">
        <f t="shared" si="111"/>
        <v>29.249991600000001</v>
      </c>
      <c r="S832" s="5">
        <v>1169.9996639999999</v>
      </c>
      <c r="T832" s="313">
        <f t="shared" si="114"/>
        <v>1199.2496556000001</v>
      </c>
      <c r="U832" s="15">
        <f t="shared" si="115"/>
        <v>29.249991600000158</v>
      </c>
      <c r="V832" s="135">
        <f t="shared" si="112"/>
        <v>2310.7493364000002</v>
      </c>
      <c r="W832" s="103">
        <v>17317</v>
      </c>
      <c r="Z832" s="114">
        <f t="shared" si="113"/>
        <v>41</v>
      </c>
    </row>
    <row r="833" spans="2:26" x14ac:dyDescent="0.25">
      <c r="B833" s="98" t="s">
        <v>2271</v>
      </c>
      <c r="F833" s="98" t="s">
        <v>2267</v>
      </c>
      <c r="G833" s="132">
        <v>41131</v>
      </c>
      <c r="H833" s="270">
        <v>10</v>
      </c>
      <c r="I833" s="270">
        <v>8</v>
      </c>
      <c r="J833" s="271">
        <v>2012</v>
      </c>
      <c r="K833" s="97" t="s">
        <v>56</v>
      </c>
      <c r="L833" s="97" t="s">
        <v>2268</v>
      </c>
      <c r="M833" s="97" t="s">
        <v>796</v>
      </c>
      <c r="N833" s="272">
        <v>3509.9989920000003</v>
      </c>
      <c r="Q833" s="103">
        <v>10</v>
      </c>
      <c r="R833" s="135">
        <f t="shared" si="111"/>
        <v>29.249991600000001</v>
      </c>
      <c r="S833" s="5">
        <v>1169.9996639999999</v>
      </c>
      <c r="T833" s="313">
        <f t="shared" si="114"/>
        <v>1199.2496556000001</v>
      </c>
      <c r="U833" s="15">
        <f t="shared" si="115"/>
        <v>29.249991600000158</v>
      </c>
      <c r="V833" s="135">
        <f t="shared" si="112"/>
        <v>2310.7493364000002</v>
      </c>
      <c r="W833" s="103">
        <v>17317</v>
      </c>
      <c r="Z833" s="114">
        <f t="shared" si="113"/>
        <v>41</v>
      </c>
    </row>
    <row r="834" spans="2:26" x14ac:dyDescent="0.25">
      <c r="B834" s="98" t="s">
        <v>2271</v>
      </c>
      <c r="F834" s="98" t="s">
        <v>2267</v>
      </c>
      <c r="G834" s="132">
        <v>41131</v>
      </c>
      <c r="H834" s="270">
        <v>10</v>
      </c>
      <c r="I834" s="270">
        <v>8</v>
      </c>
      <c r="J834" s="271">
        <v>2012</v>
      </c>
      <c r="K834" s="97" t="s">
        <v>56</v>
      </c>
      <c r="L834" s="97" t="s">
        <v>2268</v>
      </c>
      <c r="M834" s="97" t="s">
        <v>796</v>
      </c>
      <c r="N834" s="272">
        <v>3509.9989920000003</v>
      </c>
      <c r="Q834" s="103">
        <v>10</v>
      </c>
      <c r="R834" s="135">
        <f t="shared" si="111"/>
        <v>29.249991600000001</v>
      </c>
      <c r="S834" s="5">
        <v>1169.9996639999999</v>
      </c>
      <c r="T834" s="313">
        <f t="shared" si="114"/>
        <v>1199.2496556000001</v>
      </c>
      <c r="U834" s="15">
        <f t="shared" si="115"/>
        <v>29.249991600000158</v>
      </c>
      <c r="V834" s="135">
        <f t="shared" si="112"/>
        <v>2310.7493364000002</v>
      </c>
      <c r="W834" s="103">
        <v>17317</v>
      </c>
      <c r="Z834" s="114">
        <f t="shared" si="113"/>
        <v>41</v>
      </c>
    </row>
    <row r="835" spans="2:26" x14ac:dyDescent="0.25">
      <c r="B835" s="98" t="s">
        <v>2271</v>
      </c>
      <c r="F835" s="98" t="s">
        <v>2267</v>
      </c>
      <c r="G835" s="132">
        <v>41131</v>
      </c>
      <c r="H835" s="270">
        <v>10</v>
      </c>
      <c r="I835" s="270">
        <v>8</v>
      </c>
      <c r="J835" s="271">
        <v>2012</v>
      </c>
      <c r="K835" s="97" t="s">
        <v>56</v>
      </c>
      <c r="L835" s="97" t="s">
        <v>2268</v>
      </c>
      <c r="M835" s="97" t="s">
        <v>796</v>
      </c>
      <c r="N835" s="272">
        <v>3509.9989920000003</v>
      </c>
      <c r="Q835" s="103">
        <v>10</v>
      </c>
      <c r="R835" s="135">
        <f t="shared" si="111"/>
        <v>29.249991600000001</v>
      </c>
      <c r="S835" s="5">
        <v>1169.9996639999999</v>
      </c>
      <c r="T835" s="313">
        <f t="shared" si="114"/>
        <v>1199.2496556000001</v>
      </c>
      <c r="U835" s="15">
        <f t="shared" si="115"/>
        <v>29.249991600000158</v>
      </c>
      <c r="V835" s="135">
        <f t="shared" si="112"/>
        <v>2310.7493364000002</v>
      </c>
      <c r="W835" s="103">
        <v>17317</v>
      </c>
      <c r="Z835" s="114">
        <f t="shared" si="113"/>
        <v>41</v>
      </c>
    </row>
    <row r="836" spans="2:26" x14ac:dyDescent="0.25">
      <c r="B836" s="98" t="s">
        <v>2271</v>
      </c>
      <c r="F836" s="98" t="s">
        <v>2267</v>
      </c>
      <c r="G836" s="132">
        <v>41131</v>
      </c>
      <c r="H836" s="270">
        <v>10</v>
      </c>
      <c r="I836" s="270">
        <v>8</v>
      </c>
      <c r="J836" s="271">
        <v>2012</v>
      </c>
      <c r="K836" s="97" t="s">
        <v>56</v>
      </c>
      <c r="L836" s="97" t="s">
        <v>2268</v>
      </c>
      <c r="M836" s="97" t="s">
        <v>796</v>
      </c>
      <c r="N836" s="272">
        <v>3509.9989920000003</v>
      </c>
      <c r="Q836" s="103">
        <v>10</v>
      </c>
      <c r="R836" s="135">
        <f t="shared" si="111"/>
        <v>29.249991600000001</v>
      </c>
      <c r="S836" s="5">
        <v>1169.9996639999999</v>
      </c>
      <c r="T836" s="313">
        <f t="shared" si="114"/>
        <v>1199.2496556000001</v>
      </c>
      <c r="U836" s="15">
        <f t="shared" si="115"/>
        <v>29.249991600000158</v>
      </c>
      <c r="V836" s="135">
        <f t="shared" si="112"/>
        <v>2310.7493364000002</v>
      </c>
      <c r="W836" s="103">
        <v>17317</v>
      </c>
      <c r="Z836" s="114">
        <f t="shared" si="113"/>
        <v>41</v>
      </c>
    </row>
    <row r="837" spans="2:26" x14ac:dyDescent="0.25">
      <c r="B837" s="98" t="s">
        <v>2271</v>
      </c>
      <c r="F837" s="98" t="s">
        <v>2267</v>
      </c>
      <c r="G837" s="132">
        <v>41131</v>
      </c>
      <c r="H837" s="270">
        <v>10</v>
      </c>
      <c r="I837" s="270">
        <v>8</v>
      </c>
      <c r="J837" s="271">
        <v>2012</v>
      </c>
      <c r="K837" s="97" t="s">
        <v>56</v>
      </c>
      <c r="L837" s="97" t="s">
        <v>2268</v>
      </c>
      <c r="M837" s="97" t="s">
        <v>796</v>
      </c>
      <c r="N837" s="272">
        <v>3509.9989920000003</v>
      </c>
      <c r="Q837" s="103">
        <v>10</v>
      </c>
      <c r="R837" s="135">
        <f t="shared" si="111"/>
        <v>29.249991600000001</v>
      </c>
      <c r="S837" s="5">
        <v>1169.9996639999999</v>
      </c>
      <c r="T837" s="313">
        <f t="shared" si="114"/>
        <v>1199.2496556000001</v>
      </c>
      <c r="U837" s="15">
        <f t="shared" si="115"/>
        <v>29.249991600000158</v>
      </c>
      <c r="V837" s="135">
        <f t="shared" si="112"/>
        <v>2310.7493364000002</v>
      </c>
      <c r="W837" s="103">
        <v>17317</v>
      </c>
      <c r="Z837" s="114">
        <f t="shared" si="113"/>
        <v>41</v>
      </c>
    </row>
    <row r="838" spans="2:26" x14ac:dyDescent="0.25">
      <c r="B838" s="98" t="s">
        <v>2271</v>
      </c>
      <c r="F838" s="98" t="s">
        <v>2267</v>
      </c>
      <c r="G838" s="132">
        <v>41131</v>
      </c>
      <c r="H838" s="270">
        <v>10</v>
      </c>
      <c r="I838" s="270">
        <v>8</v>
      </c>
      <c r="J838" s="271">
        <v>2012</v>
      </c>
      <c r="K838" s="97" t="s">
        <v>56</v>
      </c>
      <c r="L838" s="97" t="s">
        <v>2268</v>
      </c>
      <c r="M838" s="97" t="s">
        <v>796</v>
      </c>
      <c r="N838" s="272">
        <v>3509.9989920000003</v>
      </c>
      <c r="Q838" s="103">
        <v>10</v>
      </c>
      <c r="R838" s="135">
        <f t="shared" si="111"/>
        <v>29.249991600000001</v>
      </c>
      <c r="S838" s="5">
        <v>1169.9996639999999</v>
      </c>
      <c r="T838" s="313">
        <f t="shared" si="114"/>
        <v>1199.2496556000001</v>
      </c>
      <c r="U838" s="15">
        <f t="shared" si="115"/>
        <v>29.249991600000158</v>
      </c>
      <c r="V838" s="135">
        <f t="shared" si="112"/>
        <v>2310.7493364000002</v>
      </c>
      <c r="W838" s="103">
        <v>17317</v>
      </c>
      <c r="Z838" s="114">
        <f t="shared" si="113"/>
        <v>41</v>
      </c>
    </row>
    <row r="839" spans="2:26" x14ac:dyDescent="0.25">
      <c r="B839" s="98" t="s">
        <v>2271</v>
      </c>
      <c r="F839" s="98" t="s">
        <v>2267</v>
      </c>
      <c r="G839" s="132">
        <v>41131</v>
      </c>
      <c r="H839" s="270">
        <v>10</v>
      </c>
      <c r="I839" s="270">
        <v>8</v>
      </c>
      <c r="J839" s="271">
        <v>2012</v>
      </c>
      <c r="K839" s="97" t="s">
        <v>56</v>
      </c>
      <c r="L839" s="97" t="s">
        <v>2268</v>
      </c>
      <c r="M839" s="97" t="s">
        <v>796</v>
      </c>
      <c r="N839" s="272">
        <v>3509.9989920000003</v>
      </c>
      <c r="Q839" s="103">
        <v>10</v>
      </c>
      <c r="R839" s="135">
        <f t="shared" si="111"/>
        <v>29.249991600000001</v>
      </c>
      <c r="S839" s="5">
        <v>1169.9996639999999</v>
      </c>
      <c r="T839" s="313">
        <f t="shared" si="114"/>
        <v>1199.2496556000001</v>
      </c>
      <c r="U839" s="15">
        <f t="shared" si="115"/>
        <v>29.249991600000158</v>
      </c>
      <c r="V839" s="135">
        <f t="shared" si="112"/>
        <v>2310.7493364000002</v>
      </c>
      <c r="W839" s="103">
        <v>17317</v>
      </c>
      <c r="Z839" s="114">
        <f t="shared" si="113"/>
        <v>41</v>
      </c>
    </row>
    <row r="840" spans="2:26" x14ac:dyDescent="0.25">
      <c r="B840" s="98" t="s">
        <v>2271</v>
      </c>
      <c r="F840" s="98" t="s">
        <v>2267</v>
      </c>
      <c r="G840" s="132">
        <v>41131</v>
      </c>
      <c r="H840" s="270">
        <v>10</v>
      </c>
      <c r="I840" s="270">
        <v>8</v>
      </c>
      <c r="J840" s="271">
        <v>2012</v>
      </c>
      <c r="K840" s="97" t="s">
        <v>56</v>
      </c>
      <c r="L840" s="97" t="s">
        <v>2268</v>
      </c>
      <c r="M840" s="97" t="s">
        <v>796</v>
      </c>
      <c r="N840" s="272">
        <v>3509.9989920000003</v>
      </c>
      <c r="Q840" s="103">
        <v>10</v>
      </c>
      <c r="R840" s="135">
        <f t="shared" si="111"/>
        <v>29.249991600000001</v>
      </c>
      <c r="S840" s="5">
        <v>1169.9996639999999</v>
      </c>
      <c r="T840" s="313">
        <f t="shared" si="114"/>
        <v>1199.2496556000001</v>
      </c>
      <c r="U840" s="15">
        <f t="shared" si="115"/>
        <v>29.249991600000158</v>
      </c>
      <c r="V840" s="135">
        <f t="shared" si="112"/>
        <v>2310.7493364000002</v>
      </c>
      <c r="W840" s="103">
        <v>17317</v>
      </c>
      <c r="Z840" s="114">
        <f t="shared" si="113"/>
        <v>41</v>
      </c>
    </row>
    <row r="841" spans="2:26" x14ac:dyDescent="0.25">
      <c r="B841" s="98" t="s">
        <v>2271</v>
      </c>
      <c r="F841" s="98" t="s">
        <v>2267</v>
      </c>
      <c r="G841" s="132">
        <v>41131</v>
      </c>
      <c r="H841" s="270">
        <v>10</v>
      </c>
      <c r="I841" s="270">
        <v>8</v>
      </c>
      <c r="J841" s="271">
        <v>2012</v>
      </c>
      <c r="K841" s="97" t="s">
        <v>56</v>
      </c>
      <c r="L841" s="97" t="s">
        <v>2268</v>
      </c>
      <c r="M841" s="97" t="s">
        <v>796</v>
      </c>
      <c r="N841" s="272">
        <f>3509.998992-0.09</f>
        <v>3509.9089919999997</v>
      </c>
      <c r="Q841" s="103">
        <v>10</v>
      </c>
      <c r="R841" s="135">
        <f t="shared" si="111"/>
        <v>29.249241599999994</v>
      </c>
      <c r="S841" s="5">
        <v>1169.9696639999997</v>
      </c>
      <c r="T841" s="313">
        <f t="shared" si="114"/>
        <v>1199.2189055999997</v>
      </c>
      <c r="U841" s="15">
        <f t="shared" si="115"/>
        <v>29.249241600000005</v>
      </c>
      <c r="V841" s="135">
        <f t="shared" si="112"/>
        <v>2310.6900863999999</v>
      </c>
      <c r="W841" s="103">
        <v>17317</v>
      </c>
      <c r="Z841" s="114">
        <f t="shared" si="113"/>
        <v>41</v>
      </c>
    </row>
    <row r="842" spans="2:26" x14ac:dyDescent="0.25">
      <c r="B842" s="98" t="s">
        <v>2272</v>
      </c>
      <c r="C842" s="98" t="s">
        <v>1624</v>
      </c>
      <c r="D842" s="98" t="s">
        <v>2273</v>
      </c>
      <c r="F842" s="98" t="s">
        <v>865</v>
      </c>
      <c r="G842" s="132">
        <v>41131</v>
      </c>
      <c r="H842" s="270">
        <v>10</v>
      </c>
      <c r="I842" s="270">
        <v>8</v>
      </c>
      <c r="J842" s="271">
        <v>2012</v>
      </c>
      <c r="K842" s="97" t="s">
        <v>56</v>
      </c>
      <c r="L842" s="97" t="s">
        <v>2274</v>
      </c>
      <c r="M842" s="97" t="s">
        <v>796</v>
      </c>
      <c r="N842" s="272">
        <f>4284*1.16</f>
        <v>4969.4399999999996</v>
      </c>
      <c r="Q842" s="103">
        <v>10</v>
      </c>
      <c r="R842" s="135">
        <f t="shared" si="111"/>
        <v>41.411999999999999</v>
      </c>
      <c r="S842" s="5">
        <v>1656.48</v>
      </c>
      <c r="T842" s="313">
        <f t="shared" si="114"/>
        <v>1697.8920000000001</v>
      </c>
      <c r="U842" s="15">
        <f t="shared" si="115"/>
        <v>41.412000000000035</v>
      </c>
      <c r="V842" s="135">
        <f t="shared" si="112"/>
        <v>3271.5479999999998</v>
      </c>
      <c r="W842" s="103">
        <v>17315</v>
      </c>
      <c r="Z842" s="114">
        <f t="shared" si="113"/>
        <v>41</v>
      </c>
    </row>
    <row r="843" spans="2:26" x14ac:dyDescent="0.25">
      <c r="B843" s="98" t="s">
        <v>2272</v>
      </c>
      <c r="C843" s="98" t="s">
        <v>1624</v>
      </c>
      <c r="D843" s="98" t="s">
        <v>2273</v>
      </c>
      <c r="F843" s="98" t="s">
        <v>865</v>
      </c>
      <c r="G843" s="132">
        <v>41131</v>
      </c>
      <c r="H843" s="270">
        <v>10</v>
      </c>
      <c r="I843" s="270">
        <v>8</v>
      </c>
      <c r="J843" s="271">
        <v>2012</v>
      </c>
      <c r="K843" s="97" t="s">
        <v>56</v>
      </c>
      <c r="L843" s="97" t="s">
        <v>2274</v>
      </c>
      <c r="M843" s="97" t="s">
        <v>796</v>
      </c>
      <c r="N843" s="272">
        <f>4284*1.16</f>
        <v>4969.4399999999996</v>
      </c>
      <c r="Q843" s="103">
        <v>10</v>
      </c>
      <c r="R843" s="135">
        <f t="shared" si="111"/>
        <v>41.411999999999999</v>
      </c>
      <c r="S843" s="5">
        <v>1656.48</v>
      </c>
      <c r="T843" s="313">
        <f t="shared" si="114"/>
        <v>1697.8920000000001</v>
      </c>
      <c r="U843" s="15">
        <f t="shared" si="115"/>
        <v>41.412000000000035</v>
      </c>
      <c r="V843" s="135">
        <f t="shared" si="112"/>
        <v>3271.5479999999998</v>
      </c>
      <c r="W843" s="103">
        <v>17315</v>
      </c>
      <c r="Z843" s="114">
        <f t="shared" si="113"/>
        <v>41</v>
      </c>
    </row>
    <row r="844" spans="2:26" x14ac:dyDescent="0.25">
      <c r="B844" s="98" t="s">
        <v>2272</v>
      </c>
      <c r="C844" s="98" t="s">
        <v>1624</v>
      </c>
      <c r="D844" s="98" t="s">
        <v>2273</v>
      </c>
      <c r="F844" s="98" t="s">
        <v>865</v>
      </c>
      <c r="G844" s="132">
        <v>41131</v>
      </c>
      <c r="H844" s="270">
        <v>10</v>
      </c>
      <c r="I844" s="270">
        <v>8</v>
      </c>
      <c r="J844" s="271">
        <v>2012</v>
      </c>
      <c r="K844" s="97" t="s">
        <v>56</v>
      </c>
      <c r="L844" s="97" t="s">
        <v>2274</v>
      </c>
      <c r="M844" s="97" t="s">
        <v>796</v>
      </c>
      <c r="N844" s="272">
        <f>4284*1.16</f>
        <v>4969.4399999999996</v>
      </c>
      <c r="Q844" s="103">
        <v>10</v>
      </c>
      <c r="R844" s="135">
        <f t="shared" si="111"/>
        <v>41.411999999999999</v>
      </c>
      <c r="S844" s="5">
        <v>1656.48</v>
      </c>
      <c r="T844" s="313">
        <f t="shared" si="114"/>
        <v>1697.8920000000001</v>
      </c>
      <c r="U844" s="15">
        <f t="shared" si="115"/>
        <v>41.412000000000035</v>
      </c>
      <c r="V844" s="135">
        <f t="shared" si="112"/>
        <v>3271.5479999999998</v>
      </c>
      <c r="W844" s="103">
        <v>17315</v>
      </c>
      <c r="Z844" s="114">
        <f t="shared" si="113"/>
        <v>41</v>
      </c>
    </row>
    <row r="845" spans="2:26" x14ac:dyDescent="0.25">
      <c r="B845" s="98" t="s">
        <v>2272</v>
      </c>
      <c r="C845" s="98" t="s">
        <v>1624</v>
      </c>
      <c r="D845" s="98" t="s">
        <v>2273</v>
      </c>
      <c r="F845" s="98" t="s">
        <v>865</v>
      </c>
      <c r="G845" s="132">
        <v>41131</v>
      </c>
      <c r="H845" s="270">
        <v>10</v>
      </c>
      <c r="I845" s="270">
        <v>8</v>
      </c>
      <c r="J845" s="271">
        <v>2012</v>
      </c>
      <c r="K845" s="97" t="s">
        <v>56</v>
      </c>
      <c r="L845" s="97" t="s">
        <v>2274</v>
      </c>
      <c r="M845" s="97" t="s">
        <v>796</v>
      </c>
      <c r="N845" s="272">
        <f>4284*1.16</f>
        <v>4969.4399999999996</v>
      </c>
      <c r="Q845" s="103">
        <v>10</v>
      </c>
      <c r="R845" s="135">
        <f t="shared" si="111"/>
        <v>41.411999999999999</v>
      </c>
      <c r="S845" s="5">
        <v>1656.48</v>
      </c>
      <c r="T845" s="313">
        <f t="shared" si="114"/>
        <v>1697.8920000000001</v>
      </c>
      <c r="U845" s="15">
        <f t="shared" si="115"/>
        <v>41.412000000000035</v>
      </c>
      <c r="V845" s="135">
        <f t="shared" si="112"/>
        <v>3271.5479999999998</v>
      </c>
      <c r="W845" s="103">
        <v>17315</v>
      </c>
      <c r="Z845" s="114">
        <f t="shared" si="113"/>
        <v>41</v>
      </c>
    </row>
    <row r="846" spans="2:26" x14ac:dyDescent="0.25">
      <c r="B846" s="98" t="s">
        <v>1483</v>
      </c>
      <c r="C846" s="98" t="s">
        <v>561</v>
      </c>
      <c r="D846" s="98" t="s">
        <v>2275</v>
      </c>
      <c r="F846" s="98" t="s">
        <v>563</v>
      </c>
      <c r="G846" s="132">
        <v>41122</v>
      </c>
      <c r="H846" s="270">
        <v>1</v>
      </c>
      <c r="I846" s="270">
        <v>8</v>
      </c>
      <c r="J846" s="271">
        <v>2012</v>
      </c>
      <c r="K846" s="97" t="s">
        <v>56</v>
      </c>
      <c r="L846" s="97" t="s">
        <v>2276</v>
      </c>
      <c r="M846" s="97" t="s">
        <v>796</v>
      </c>
      <c r="N846" s="272">
        <v>5995</v>
      </c>
      <c r="Q846" s="103">
        <v>10</v>
      </c>
      <c r="R846" s="135">
        <f t="shared" si="111"/>
        <v>49.958333333333336</v>
      </c>
      <c r="S846" s="5">
        <v>1998.3333333333335</v>
      </c>
      <c r="T846" s="313">
        <f t="shared" si="114"/>
        <v>2048.291666666667</v>
      </c>
      <c r="U846" s="15">
        <f t="shared" si="115"/>
        <v>49.958333333333485</v>
      </c>
      <c r="V846" s="135">
        <f t="shared" si="112"/>
        <v>3946.708333333333</v>
      </c>
      <c r="W846" s="103">
        <v>17375</v>
      </c>
      <c r="Z846" s="114">
        <f t="shared" si="113"/>
        <v>41</v>
      </c>
    </row>
    <row r="847" spans="2:26" x14ac:dyDescent="0.25">
      <c r="B847" s="98" t="s">
        <v>2277</v>
      </c>
      <c r="C847" s="98" t="s">
        <v>2278</v>
      </c>
      <c r="D847" s="98">
        <v>3300</v>
      </c>
      <c r="F847" s="98" t="s">
        <v>563</v>
      </c>
      <c r="G847" s="132">
        <v>41122</v>
      </c>
      <c r="H847" s="270">
        <v>1</v>
      </c>
      <c r="I847" s="270">
        <v>8</v>
      </c>
      <c r="J847" s="271">
        <v>2012</v>
      </c>
      <c r="K847" s="97" t="s">
        <v>56</v>
      </c>
      <c r="L847" s="97" t="s">
        <v>2279</v>
      </c>
      <c r="M847" s="97" t="s">
        <v>796</v>
      </c>
      <c r="N847" s="272">
        <v>1675</v>
      </c>
      <c r="Q847" s="103">
        <v>10</v>
      </c>
      <c r="R847" s="135">
        <f t="shared" si="111"/>
        <v>13.958333333333334</v>
      </c>
      <c r="S847" s="5">
        <v>558.33333333333337</v>
      </c>
      <c r="T847" s="313">
        <f t="shared" si="114"/>
        <v>572.29166666666674</v>
      </c>
      <c r="U847" s="15">
        <f t="shared" si="115"/>
        <v>13.958333333333371</v>
      </c>
      <c r="V847" s="135">
        <f t="shared" si="112"/>
        <v>1102.7083333333333</v>
      </c>
      <c r="W847" s="103">
        <v>17375</v>
      </c>
      <c r="Z847" s="114">
        <f t="shared" si="113"/>
        <v>41</v>
      </c>
    </row>
    <row r="848" spans="2:26" x14ac:dyDescent="0.25">
      <c r="B848" s="98" t="s">
        <v>2277</v>
      </c>
      <c r="C848" s="98" t="s">
        <v>2278</v>
      </c>
      <c r="D848" s="98">
        <v>3300</v>
      </c>
      <c r="F848" s="98" t="s">
        <v>563</v>
      </c>
      <c r="G848" s="132">
        <v>41122</v>
      </c>
      <c r="H848" s="270">
        <v>1</v>
      </c>
      <c r="I848" s="270">
        <v>8</v>
      </c>
      <c r="J848" s="271">
        <v>2012</v>
      </c>
      <c r="K848" s="97" t="s">
        <v>56</v>
      </c>
      <c r="L848" s="97" t="s">
        <v>2279</v>
      </c>
      <c r="M848" s="97" t="s">
        <v>796</v>
      </c>
      <c r="N848" s="272">
        <v>1675</v>
      </c>
      <c r="Q848" s="103">
        <v>10</v>
      </c>
      <c r="R848" s="135">
        <f t="shared" si="111"/>
        <v>13.958333333333334</v>
      </c>
      <c r="S848" s="5">
        <v>558.33333333333337</v>
      </c>
      <c r="T848" s="313">
        <f t="shared" si="114"/>
        <v>572.29166666666674</v>
      </c>
      <c r="U848" s="15">
        <f t="shared" si="115"/>
        <v>13.958333333333371</v>
      </c>
      <c r="V848" s="135">
        <f t="shared" si="112"/>
        <v>1102.7083333333333</v>
      </c>
      <c r="W848" s="103">
        <v>17375</v>
      </c>
      <c r="Z848" s="114">
        <f t="shared" si="113"/>
        <v>41</v>
      </c>
    </row>
    <row r="849" spans="1:26" x14ac:dyDescent="0.25">
      <c r="B849" s="98" t="s">
        <v>2277</v>
      </c>
      <c r="C849" s="98" t="s">
        <v>2278</v>
      </c>
      <c r="D849" s="98">
        <v>3300</v>
      </c>
      <c r="F849" s="98" t="s">
        <v>563</v>
      </c>
      <c r="G849" s="132">
        <v>41122</v>
      </c>
      <c r="H849" s="270">
        <v>1</v>
      </c>
      <c r="I849" s="270">
        <v>8</v>
      </c>
      <c r="J849" s="271">
        <v>2012</v>
      </c>
      <c r="K849" s="97" t="s">
        <v>56</v>
      </c>
      <c r="L849" s="97" t="s">
        <v>2279</v>
      </c>
      <c r="M849" s="97" t="s">
        <v>796</v>
      </c>
      <c r="N849" s="272">
        <v>1675</v>
      </c>
      <c r="Q849" s="103">
        <v>10</v>
      </c>
      <c r="R849" s="135">
        <f t="shared" si="111"/>
        <v>13.958333333333334</v>
      </c>
      <c r="S849" s="5">
        <v>558.33333333333337</v>
      </c>
      <c r="T849" s="313">
        <f t="shared" si="114"/>
        <v>572.29166666666674</v>
      </c>
      <c r="U849" s="15">
        <f t="shared" si="115"/>
        <v>13.958333333333371</v>
      </c>
      <c r="V849" s="135">
        <f t="shared" si="112"/>
        <v>1102.7083333333333</v>
      </c>
      <c r="W849" s="103">
        <v>17375</v>
      </c>
      <c r="Z849" s="114">
        <f t="shared" si="113"/>
        <v>41</v>
      </c>
    </row>
    <row r="850" spans="1:26" x14ac:dyDescent="0.25">
      <c r="B850" s="98" t="s">
        <v>2280</v>
      </c>
      <c r="C850" s="98" t="s">
        <v>2177</v>
      </c>
      <c r="D850" s="98" t="s">
        <v>2281</v>
      </c>
      <c r="F850" s="98" t="s">
        <v>563</v>
      </c>
      <c r="G850" s="132">
        <v>41122</v>
      </c>
      <c r="H850" s="270">
        <v>1</v>
      </c>
      <c r="I850" s="270">
        <v>8</v>
      </c>
      <c r="J850" s="271">
        <v>2012</v>
      </c>
      <c r="K850" s="97" t="s">
        <v>56</v>
      </c>
      <c r="L850" s="97" t="s">
        <v>2282</v>
      </c>
      <c r="M850" s="97" t="s">
        <v>796</v>
      </c>
      <c r="N850" s="272">
        <v>29575</v>
      </c>
      <c r="Q850" s="103">
        <v>10</v>
      </c>
      <c r="R850" s="135">
        <f t="shared" si="111"/>
        <v>246.45833333333334</v>
      </c>
      <c r="S850" s="5">
        <v>9858.3333333333339</v>
      </c>
      <c r="T850" s="313">
        <f t="shared" si="114"/>
        <v>10104.791666666668</v>
      </c>
      <c r="U850" s="15">
        <f t="shared" si="115"/>
        <v>246.45833333333394</v>
      </c>
      <c r="V850" s="135">
        <f t="shared" si="112"/>
        <v>19470.208333333332</v>
      </c>
      <c r="W850" s="103">
        <v>17375</v>
      </c>
      <c r="Z850" s="114">
        <f t="shared" si="113"/>
        <v>41</v>
      </c>
    </row>
    <row r="851" spans="1:26" x14ac:dyDescent="0.25">
      <c r="B851" s="98" t="s">
        <v>2277</v>
      </c>
      <c r="C851" s="98" t="s">
        <v>2278</v>
      </c>
      <c r="D851" s="98">
        <v>3300</v>
      </c>
      <c r="F851" s="98" t="s">
        <v>563</v>
      </c>
      <c r="G851" s="132">
        <v>41122</v>
      </c>
      <c r="H851" s="270">
        <v>1</v>
      </c>
      <c r="I851" s="270">
        <v>8</v>
      </c>
      <c r="J851" s="271">
        <v>2012</v>
      </c>
      <c r="K851" s="97" t="s">
        <v>56</v>
      </c>
      <c r="L851" s="97" t="s">
        <v>2283</v>
      </c>
      <c r="M851" s="97" t="s">
        <v>796</v>
      </c>
      <c r="N851" s="272">
        <v>1675</v>
      </c>
      <c r="Q851" s="103">
        <v>10</v>
      </c>
      <c r="R851" s="135">
        <f t="shared" si="111"/>
        <v>13.958333333333334</v>
      </c>
      <c r="S851" s="5">
        <v>558.33333333333337</v>
      </c>
      <c r="T851" s="313">
        <f t="shared" si="114"/>
        <v>572.29166666666674</v>
      </c>
      <c r="U851" s="15">
        <f t="shared" si="115"/>
        <v>13.958333333333371</v>
      </c>
      <c r="V851" s="135">
        <f t="shared" si="112"/>
        <v>1102.7083333333333</v>
      </c>
      <c r="W851" s="103">
        <v>17375</v>
      </c>
      <c r="Z851" s="114">
        <f t="shared" si="113"/>
        <v>41</v>
      </c>
    </row>
    <row r="852" spans="1:26" x14ac:dyDescent="0.25">
      <c r="B852" s="98" t="s">
        <v>2277</v>
      </c>
      <c r="C852" s="98" t="s">
        <v>2278</v>
      </c>
      <c r="D852" s="98">
        <v>3300</v>
      </c>
      <c r="F852" s="98" t="s">
        <v>563</v>
      </c>
      <c r="G852" s="132">
        <v>41122</v>
      </c>
      <c r="H852" s="270">
        <v>1</v>
      </c>
      <c r="I852" s="270">
        <v>8</v>
      </c>
      <c r="J852" s="271">
        <v>2012</v>
      </c>
      <c r="K852" s="97" t="s">
        <v>56</v>
      </c>
      <c r="L852" s="97" t="s">
        <v>2283</v>
      </c>
      <c r="M852" s="97" t="s">
        <v>796</v>
      </c>
      <c r="N852" s="272">
        <v>1675</v>
      </c>
      <c r="Q852" s="103">
        <v>10</v>
      </c>
      <c r="R852" s="135">
        <f t="shared" si="111"/>
        <v>13.958333333333334</v>
      </c>
      <c r="S852" s="5">
        <v>558.33333333333337</v>
      </c>
      <c r="T852" s="313">
        <f t="shared" si="114"/>
        <v>572.29166666666674</v>
      </c>
      <c r="U852" s="15">
        <f t="shared" si="115"/>
        <v>13.958333333333371</v>
      </c>
      <c r="V852" s="135">
        <f t="shared" si="112"/>
        <v>1102.7083333333333</v>
      </c>
      <c r="W852" s="103">
        <v>17375</v>
      </c>
      <c r="Z852" s="114">
        <f t="shared" si="113"/>
        <v>41</v>
      </c>
    </row>
    <row r="853" spans="1:26" x14ac:dyDescent="0.25">
      <c r="B853" s="98" t="s">
        <v>2277</v>
      </c>
      <c r="C853" s="98" t="s">
        <v>2278</v>
      </c>
      <c r="D853" s="98">
        <v>3300</v>
      </c>
      <c r="F853" s="98" t="s">
        <v>563</v>
      </c>
      <c r="G853" s="132">
        <v>41122</v>
      </c>
      <c r="H853" s="270">
        <v>1</v>
      </c>
      <c r="I853" s="270">
        <v>8</v>
      </c>
      <c r="J853" s="271">
        <v>2012</v>
      </c>
      <c r="K853" s="97" t="s">
        <v>56</v>
      </c>
      <c r="L853" s="97" t="s">
        <v>2283</v>
      </c>
      <c r="M853" s="97" t="s">
        <v>796</v>
      </c>
      <c r="N853" s="272">
        <v>1675</v>
      </c>
      <c r="Q853" s="103">
        <v>10</v>
      </c>
      <c r="R853" s="135">
        <f t="shared" si="111"/>
        <v>13.958333333333334</v>
      </c>
      <c r="S853" s="5">
        <v>558.33333333333337</v>
      </c>
      <c r="T853" s="313">
        <f t="shared" si="114"/>
        <v>572.29166666666674</v>
      </c>
      <c r="U853" s="15">
        <f t="shared" si="115"/>
        <v>13.958333333333371</v>
      </c>
      <c r="V853" s="135">
        <f t="shared" si="112"/>
        <v>1102.7083333333333</v>
      </c>
      <c r="W853" s="103">
        <v>17375</v>
      </c>
      <c r="Z853" s="114">
        <f t="shared" si="113"/>
        <v>41</v>
      </c>
    </row>
    <row r="854" spans="1:26" x14ac:dyDescent="0.25">
      <c r="B854" s="98" t="s">
        <v>2277</v>
      </c>
      <c r="C854" s="98" t="s">
        <v>2278</v>
      </c>
      <c r="D854" s="98">
        <v>3300</v>
      </c>
      <c r="F854" s="98" t="s">
        <v>563</v>
      </c>
      <c r="G854" s="132">
        <v>41122</v>
      </c>
      <c r="H854" s="270">
        <v>1</v>
      </c>
      <c r="I854" s="270">
        <v>8</v>
      </c>
      <c r="J854" s="271">
        <v>2012</v>
      </c>
      <c r="K854" s="97" t="s">
        <v>56</v>
      </c>
      <c r="L854" s="97" t="s">
        <v>2283</v>
      </c>
      <c r="M854" s="97" t="s">
        <v>796</v>
      </c>
      <c r="N854" s="272">
        <v>1675</v>
      </c>
      <c r="Q854" s="103">
        <v>10</v>
      </c>
      <c r="R854" s="135">
        <f t="shared" si="111"/>
        <v>13.958333333333334</v>
      </c>
      <c r="S854" s="5">
        <v>558.33333333333337</v>
      </c>
      <c r="T854" s="313">
        <f t="shared" si="114"/>
        <v>572.29166666666674</v>
      </c>
      <c r="U854" s="15">
        <f t="shared" si="115"/>
        <v>13.958333333333371</v>
      </c>
      <c r="V854" s="135">
        <f t="shared" si="112"/>
        <v>1102.7083333333333</v>
      </c>
      <c r="W854" s="103">
        <v>17375</v>
      </c>
      <c r="Z854" s="114">
        <f t="shared" si="113"/>
        <v>41</v>
      </c>
    </row>
    <row r="855" spans="1:26" x14ac:dyDescent="0.25">
      <c r="B855" s="98" t="s">
        <v>2277</v>
      </c>
      <c r="C855" s="98" t="s">
        <v>2278</v>
      </c>
      <c r="D855" s="98">
        <v>3300</v>
      </c>
      <c r="F855" s="98" t="s">
        <v>563</v>
      </c>
      <c r="G855" s="132">
        <v>41122</v>
      </c>
      <c r="H855" s="270">
        <v>1</v>
      </c>
      <c r="I855" s="270">
        <v>8</v>
      </c>
      <c r="J855" s="271">
        <v>2012</v>
      </c>
      <c r="K855" s="97" t="s">
        <v>56</v>
      </c>
      <c r="L855" s="97" t="s">
        <v>2283</v>
      </c>
      <c r="M855" s="97" t="s">
        <v>796</v>
      </c>
      <c r="N855" s="272">
        <v>1675</v>
      </c>
      <c r="Q855" s="103">
        <v>10</v>
      </c>
      <c r="R855" s="135">
        <f t="shared" si="111"/>
        <v>13.958333333333334</v>
      </c>
      <c r="S855" s="5">
        <v>558.33333333333337</v>
      </c>
      <c r="T855" s="313">
        <f t="shared" si="114"/>
        <v>572.29166666666674</v>
      </c>
      <c r="U855" s="15">
        <f t="shared" si="115"/>
        <v>13.958333333333371</v>
      </c>
      <c r="V855" s="135">
        <f t="shared" si="112"/>
        <v>1102.7083333333333</v>
      </c>
      <c r="W855" s="103">
        <v>17375</v>
      </c>
      <c r="Z855" s="114">
        <f t="shared" si="113"/>
        <v>41</v>
      </c>
    </row>
    <row r="856" spans="1:26" x14ac:dyDescent="0.25">
      <c r="B856" s="98" t="s">
        <v>2277</v>
      </c>
      <c r="C856" s="98" t="s">
        <v>2278</v>
      </c>
      <c r="D856" s="98">
        <v>3300</v>
      </c>
      <c r="F856" s="98" t="s">
        <v>563</v>
      </c>
      <c r="G856" s="132">
        <v>41122</v>
      </c>
      <c r="H856" s="270">
        <v>1</v>
      </c>
      <c r="I856" s="270">
        <v>8</v>
      </c>
      <c r="J856" s="271">
        <v>2012</v>
      </c>
      <c r="K856" s="97" t="s">
        <v>56</v>
      </c>
      <c r="L856" s="97" t="s">
        <v>2283</v>
      </c>
      <c r="M856" s="97" t="s">
        <v>796</v>
      </c>
      <c r="N856" s="272">
        <v>1675</v>
      </c>
      <c r="Q856" s="103">
        <v>10</v>
      </c>
      <c r="R856" s="135">
        <f t="shared" ref="R856:R882" si="116">(N856/Q856)/12</f>
        <v>13.958333333333334</v>
      </c>
      <c r="S856" s="5">
        <v>558.33333333333337</v>
      </c>
      <c r="T856" s="313">
        <f t="shared" si="114"/>
        <v>572.29166666666674</v>
      </c>
      <c r="U856" s="15">
        <f t="shared" si="115"/>
        <v>13.958333333333371</v>
      </c>
      <c r="V856" s="135">
        <f t="shared" ref="V856:V882" si="117">N856-T856</f>
        <v>1102.7083333333333</v>
      </c>
      <c r="W856" s="103">
        <v>17375</v>
      </c>
      <c r="Z856" s="114">
        <f t="shared" ref="Z856:Z882" si="118">IF((DATEDIF(G856,Z$4,"m"))&gt;=120,120,(DATEDIF(G856,Z$4,"m")))</f>
        <v>41</v>
      </c>
    </row>
    <row r="857" spans="1:26" s="278" customFormat="1" x14ac:dyDescent="0.25">
      <c r="A857" s="273"/>
      <c r="B857" s="273" t="s">
        <v>2284</v>
      </c>
      <c r="C857" s="273"/>
      <c r="D857" s="273"/>
      <c r="E857" s="273"/>
      <c r="F857" s="273" t="s">
        <v>2047</v>
      </c>
      <c r="G857" s="274">
        <v>41122</v>
      </c>
      <c r="H857" s="275">
        <v>1</v>
      </c>
      <c r="I857" s="275">
        <v>8</v>
      </c>
      <c r="J857" s="276">
        <v>2012</v>
      </c>
      <c r="K857" s="277" t="s">
        <v>56</v>
      </c>
      <c r="L857" s="277" t="s">
        <v>2285</v>
      </c>
      <c r="M857" s="277" t="s">
        <v>796</v>
      </c>
      <c r="N857" s="272">
        <v>725</v>
      </c>
      <c r="O857" s="110"/>
      <c r="Q857" s="279">
        <v>10</v>
      </c>
      <c r="R857" s="280">
        <f t="shared" si="116"/>
        <v>6.041666666666667</v>
      </c>
      <c r="S857" s="5">
        <v>241.66666666666669</v>
      </c>
      <c r="T857" s="313">
        <f t="shared" ref="T857:T882" si="119">Z857*R857</f>
        <v>247.70833333333334</v>
      </c>
      <c r="U857" s="15">
        <f t="shared" ref="U857:U882" si="120">T857-S857</f>
        <v>6.0416666666666572</v>
      </c>
      <c r="V857" s="280">
        <f t="shared" si="117"/>
        <v>477.29166666666663</v>
      </c>
      <c r="W857" s="279">
        <v>17384</v>
      </c>
      <c r="Z857" s="281">
        <f t="shared" si="118"/>
        <v>41</v>
      </c>
    </row>
    <row r="858" spans="1:26" s="278" customFormat="1" x14ac:dyDescent="0.25">
      <c r="A858" s="273"/>
      <c r="B858" s="273" t="s">
        <v>2284</v>
      </c>
      <c r="C858" s="273"/>
      <c r="D858" s="273"/>
      <c r="E858" s="273"/>
      <c r="F858" s="273" t="s">
        <v>2047</v>
      </c>
      <c r="G858" s="274">
        <v>41122</v>
      </c>
      <c r="H858" s="275">
        <v>1</v>
      </c>
      <c r="I858" s="275">
        <v>8</v>
      </c>
      <c r="J858" s="276">
        <v>2012</v>
      </c>
      <c r="K858" s="277" t="s">
        <v>56</v>
      </c>
      <c r="L858" s="277" t="s">
        <v>2285</v>
      </c>
      <c r="M858" s="277" t="s">
        <v>796</v>
      </c>
      <c r="N858" s="272">
        <v>725</v>
      </c>
      <c r="O858" s="110"/>
      <c r="Q858" s="279">
        <v>10</v>
      </c>
      <c r="R858" s="280">
        <f t="shared" si="116"/>
        <v>6.041666666666667</v>
      </c>
      <c r="S858" s="5">
        <v>241.66666666666669</v>
      </c>
      <c r="T858" s="313">
        <f t="shared" si="119"/>
        <v>247.70833333333334</v>
      </c>
      <c r="U858" s="15">
        <f t="shared" si="120"/>
        <v>6.0416666666666572</v>
      </c>
      <c r="V858" s="280">
        <f t="shared" si="117"/>
        <v>477.29166666666663</v>
      </c>
      <c r="W858" s="279">
        <v>17384</v>
      </c>
      <c r="Z858" s="281">
        <f t="shared" si="118"/>
        <v>41</v>
      </c>
    </row>
    <row r="859" spans="1:26" s="278" customFormat="1" x14ac:dyDescent="0.25">
      <c r="A859" s="273"/>
      <c r="B859" s="273" t="s">
        <v>2284</v>
      </c>
      <c r="C859" s="273"/>
      <c r="D859" s="273"/>
      <c r="E859" s="273"/>
      <c r="F859" s="273" t="s">
        <v>2047</v>
      </c>
      <c r="G859" s="274">
        <v>41122</v>
      </c>
      <c r="H859" s="275">
        <v>1</v>
      </c>
      <c r="I859" s="275">
        <v>8</v>
      </c>
      <c r="J859" s="276">
        <v>2012</v>
      </c>
      <c r="K859" s="277" t="s">
        <v>56</v>
      </c>
      <c r="L859" s="277" t="s">
        <v>2285</v>
      </c>
      <c r="M859" s="277" t="s">
        <v>796</v>
      </c>
      <c r="N859" s="272">
        <v>725</v>
      </c>
      <c r="O859" s="110"/>
      <c r="Q859" s="279">
        <v>10</v>
      </c>
      <c r="R859" s="280">
        <f t="shared" si="116"/>
        <v>6.041666666666667</v>
      </c>
      <c r="S859" s="5">
        <v>241.66666666666669</v>
      </c>
      <c r="T859" s="313">
        <f t="shared" si="119"/>
        <v>247.70833333333334</v>
      </c>
      <c r="U859" s="15">
        <f t="shared" si="120"/>
        <v>6.0416666666666572</v>
      </c>
      <c r="V859" s="280">
        <f t="shared" si="117"/>
        <v>477.29166666666663</v>
      </c>
      <c r="W859" s="279">
        <v>17384</v>
      </c>
      <c r="Z859" s="281">
        <f t="shared" si="118"/>
        <v>41</v>
      </c>
    </row>
    <row r="860" spans="1:26" s="278" customFormat="1" x14ac:dyDescent="0.25">
      <c r="A860" s="273"/>
      <c r="B860" s="273" t="s">
        <v>2284</v>
      </c>
      <c r="C860" s="273"/>
      <c r="D860" s="273"/>
      <c r="E860" s="273"/>
      <c r="F860" s="273" t="s">
        <v>2047</v>
      </c>
      <c r="G860" s="274">
        <v>41122</v>
      </c>
      <c r="H860" s="275">
        <v>1</v>
      </c>
      <c r="I860" s="275">
        <v>8</v>
      </c>
      <c r="J860" s="276">
        <v>2012</v>
      </c>
      <c r="K860" s="277" t="s">
        <v>56</v>
      </c>
      <c r="L860" s="277" t="s">
        <v>2285</v>
      </c>
      <c r="M860" s="277" t="s">
        <v>796</v>
      </c>
      <c r="N860" s="272">
        <v>725</v>
      </c>
      <c r="O860" s="110"/>
      <c r="Q860" s="279">
        <v>10</v>
      </c>
      <c r="R860" s="280">
        <f t="shared" si="116"/>
        <v>6.041666666666667</v>
      </c>
      <c r="S860" s="5">
        <v>241.66666666666669</v>
      </c>
      <c r="T860" s="313">
        <f t="shared" si="119"/>
        <v>247.70833333333334</v>
      </c>
      <c r="U860" s="15">
        <f t="shared" si="120"/>
        <v>6.0416666666666572</v>
      </c>
      <c r="V860" s="280">
        <f t="shared" si="117"/>
        <v>477.29166666666663</v>
      </c>
      <c r="W860" s="279">
        <v>17384</v>
      </c>
      <c r="Z860" s="281">
        <f t="shared" si="118"/>
        <v>41</v>
      </c>
    </row>
    <row r="861" spans="1:26" s="278" customFormat="1" x14ac:dyDescent="0.25">
      <c r="A861" s="273"/>
      <c r="B861" s="273" t="s">
        <v>2284</v>
      </c>
      <c r="C861" s="273"/>
      <c r="D861" s="273"/>
      <c r="E861" s="273"/>
      <c r="F861" s="273" t="s">
        <v>2047</v>
      </c>
      <c r="G861" s="274">
        <v>41122</v>
      </c>
      <c r="H861" s="275">
        <v>1</v>
      </c>
      <c r="I861" s="275">
        <v>8</v>
      </c>
      <c r="J861" s="276">
        <v>2012</v>
      </c>
      <c r="K861" s="277" t="s">
        <v>56</v>
      </c>
      <c r="L861" s="277" t="s">
        <v>2285</v>
      </c>
      <c r="M861" s="277" t="s">
        <v>796</v>
      </c>
      <c r="N861" s="272">
        <v>725</v>
      </c>
      <c r="O861" s="110"/>
      <c r="Q861" s="279">
        <v>10</v>
      </c>
      <c r="R861" s="280">
        <f t="shared" si="116"/>
        <v>6.041666666666667</v>
      </c>
      <c r="S861" s="5">
        <v>241.66666666666669</v>
      </c>
      <c r="T861" s="313">
        <f t="shared" si="119"/>
        <v>247.70833333333334</v>
      </c>
      <c r="U861" s="15">
        <f t="shared" si="120"/>
        <v>6.0416666666666572</v>
      </c>
      <c r="V861" s="280">
        <f t="shared" si="117"/>
        <v>477.29166666666663</v>
      </c>
      <c r="W861" s="279">
        <v>17384</v>
      </c>
      <c r="Z861" s="281">
        <f t="shared" si="118"/>
        <v>41</v>
      </c>
    </row>
    <row r="862" spans="1:26" s="278" customFormat="1" x14ac:dyDescent="0.25">
      <c r="A862" s="273"/>
      <c r="B862" s="273" t="s">
        <v>2284</v>
      </c>
      <c r="C862" s="273"/>
      <c r="D862" s="273"/>
      <c r="E862" s="273"/>
      <c r="F862" s="273" t="s">
        <v>2047</v>
      </c>
      <c r="G862" s="274">
        <v>41122</v>
      </c>
      <c r="H862" s="275">
        <v>1</v>
      </c>
      <c r="I862" s="275">
        <v>8</v>
      </c>
      <c r="J862" s="276">
        <v>2012</v>
      </c>
      <c r="K862" s="277" t="s">
        <v>56</v>
      </c>
      <c r="L862" s="277" t="s">
        <v>2285</v>
      </c>
      <c r="M862" s="277" t="s">
        <v>796</v>
      </c>
      <c r="N862" s="272">
        <v>725</v>
      </c>
      <c r="O862" s="110"/>
      <c r="Q862" s="279">
        <v>10</v>
      </c>
      <c r="R862" s="280">
        <f t="shared" si="116"/>
        <v>6.041666666666667</v>
      </c>
      <c r="S862" s="5">
        <v>241.66666666666669</v>
      </c>
      <c r="T862" s="313">
        <f t="shared" si="119"/>
        <v>247.70833333333334</v>
      </c>
      <c r="U862" s="15">
        <f t="shared" si="120"/>
        <v>6.0416666666666572</v>
      </c>
      <c r="V862" s="280">
        <f t="shared" si="117"/>
        <v>477.29166666666663</v>
      </c>
      <c r="W862" s="279">
        <v>17384</v>
      </c>
      <c r="Z862" s="281">
        <f t="shared" si="118"/>
        <v>41</v>
      </c>
    </row>
    <row r="863" spans="1:26" s="278" customFormat="1" x14ac:dyDescent="0.25">
      <c r="A863" s="273"/>
      <c r="B863" s="273" t="s">
        <v>2284</v>
      </c>
      <c r="C863" s="273"/>
      <c r="D863" s="273"/>
      <c r="E863" s="273"/>
      <c r="F863" s="273" t="s">
        <v>2047</v>
      </c>
      <c r="G863" s="274">
        <v>41122</v>
      </c>
      <c r="H863" s="275">
        <v>1</v>
      </c>
      <c r="I863" s="275">
        <v>8</v>
      </c>
      <c r="J863" s="276">
        <v>2012</v>
      </c>
      <c r="K863" s="277" t="s">
        <v>56</v>
      </c>
      <c r="L863" s="277" t="s">
        <v>2285</v>
      </c>
      <c r="M863" s="277" t="s">
        <v>796</v>
      </c>
      <c r="N863" s="272">
        <v>725</v>
      </c>
      <c r="O863" s="110"/>
      <c r="Q863" s="279">
        <v>10</v>
      </c>
      <c r="R863" s="280">
        <f t="shared" si="116"/>
        <v>6.041666666666667</v>
      </c>
      <c r="S863" s="5">
        <v>241.66666666666669</v>
      </c>
      <c r="T863" s="313">
        <f t="shared" si="119"/>
        <v>247.70833333333334</v>
      </c>
      <c r="U863" s="15">
        <f t="shared" si="120"/>
        <v>6.0416666666666572</v>
      </c>
      <c r="V863" s="280">
        <f t="shared" si="117"/>
        <v>477.29166666666663</v>
      </c>
      <c r="W863" s="279">
        <v>17384</v>
      </c>
      <c r="Z863" s="281">
        <f t="shared" si="118"/>
        <v>41</v>
      </c>
    </row>
    <row r="864" spans="1:26" s="278" customFormat="1" x14ac:dyDescent="0.25">
      <c r="A864" s="273"/>
      <c r="B864" s="273" t="s">
        <v>2284</v>
      </c>
      <c r="C864" s="273"/>
      <c r="D864" s="273"/>
      <c r="E864" s="273"/>
      <c r="F864" s="273" t="s">
        <v>2047</v>
      </c>
      <c r="G864" s="274">
        <v>41122</v>
      </c>
      <c r="H864" s="275">
        <v>1</v>
      </c>
      <c r="I864" s="275">
        <v>8</v>
      </c>
      <c r="J864" s="276">
        <v>2012</v>
      </c>
      <c r="K864" s="277" t="s">
        <v>56</v>
      </c>
      <c r="L864" s="277" t="s">
        <v>2285</v>
      </c>
      <c r="M864" s="277" t="s">
        <v>796</v>
      </c>
      <c r="N864" s="272">
        <v>725</v>
      </c>
      <c r="O864" s="110"/>
      <c r="Q864" s="279">
        <v>10</v>
      </c>
      <c r="R864" s="280">
        <f t="shared" si="116"/>
        <v>6.041666666666667</v>
      </c>
      <c r="S864" s="5">
        <v>241.66666666666669</v>
      </c>
      <c r="T864" s="313">
        <f t="shared" si="119"/>
        <v>247.70833333333334</v>
      </c>
      <c r="U864" s="15">
        <f t="shared" si="120"/>
        <v>6.0416666666666572</v>
      </c>
      <c r="V864" s="280">
        <f t="shared" si="117"/>
        <v>477.29166666666663</v>
      </c>
      <c r="W864" s="279">
        <v>17384</v>
      </c>
      <c r="Z864" s="281">
        <f t="shared" si="118"/>
        <v>41</v>
      </c>
    </row>
    <row r="865" spans="1:26" s="278" customFormat="1" x14ac:dyDescent="0.25">
      <c r="A865" s="273"/>
      <c r="B865" s="273" t="s">
        <v>2284</v>
      </c>
      <c r="C865" s="273"/>
      <c r="D865" s="273"/>
      <c r="E865" s="273"/>
      <c r="F865" s="273" t="s">
        <v>2047</v>
      </c>
      <c r="G865" s="274">
        <v>41122</v>
      </c>
      <c r="H865" s="275">
        <v>1</v>
      </c>
      <c r="I865" s="275">
        <v>8</v>
      </c>
      <c r="J865" s="276">
        <v>2012</v>
      </c>
      <c r="K865" s="277" t="s">
        <v>56</v>
      </c>
      <c r="L865" s="277" t="s">
        <v>2285</v>
      </c>
      <c r="M865" s="277" t="s">
        <v>796</v>
      </c>
      <c r="N865" s="272">
        <v>725</v>
      </c>
      <c r="O865" s="110"/>
      <c r="Q865" s="279">
        <v>10</v>
      </c>
      <c r="R865" s="280">
        <f t="shared" si="116"/>
        <v>6.041666666666667</v>
      </c>
      <c r="S865" s="5">
        <v>241.66666666666669</v>
      </c>
      <c r="T865" s="313">
        <f t="shared" si="119"/>
        <v>247.70833333333334</v>
      </c>
      <c r="U865" s="15">
        <f t="shared" si="120"/>
        <v>6.0416666666666572</v>
      </c>
      <c r="V865" s="280">
        <f t="shared" si="117"/>
        <v>477.29166666666663</v>
      </c>
      <c r="W865" s="279">
        <v>17384</v>
      </c>
      <c r="Z865" s="281">
        <f t="shared" si="118"/>
        <v>41</v>
      </c>
    </row>
    <row r="866" spans="1:26" s="278" customFormat="1" x14ac:dyDescent="0.25">
      <c r="A866" s="273"/>
      <c r="B866" s="273" t="s">
        <v>2284</v>
      </c>
      <c r="C866" s="273"/>
      <c r="D866" s="273"/>
      <c r="E866" s="273"/>
      <c r="F866" s="273" t="s">
        <v>2047</v>
      </c>
      <c r="G866" s="274">
        <v>41122</v>
      </c>
      <c r="H866" s="275">
        <v>1</v>
      </c>
      <c r="I866" s="275">
        <v>8</v>
      </c>
      <c r="J866" s="276">
        <v>2012</v>
      </c>
      <c r="K866" s="277" t="s">
        <v>56</v>
      </c>
      <c r="L866" s="277" t="s">
        <v>2285</v>
      </c>
      <c r="M866" s="277" t="s">
        <v>796</v>
      </c>
      <c r="N866" s="272">
        <v>725</v>
      </c>
      <c r="O866" s="110"/>
      <c r="Q866" s="279">
        <v>10</v>
      </c>
      <c r="R866" s="280">
        <f t="shared" si="116"/>
        <v>6.041666666666667</v>
      </c>
      <c r="S866" s="5">
        <v>241.66666666666669</v>
      </c>
      <c r="T866" s="313">
        <f t="shared" si="119"/>
        <v>247.70833333333334</v>
      </c>
      <c r="U866" s="15">
        <f t="shared" si="120"/>
        <v>6.0416666666666572</v>
      </c>
      <c r="V866" s="280">
        <f t="shared" si="117"/>
        <v>477.29166666666663</v>
      </c>
      <c r="W866" s="279">
        <v>17384</v>
      </c>
      <c r="Z866" s="281">
        <f t="shared" si="118"/>
        <v>41</v>
      </c>
    </row>
    <row r="867" spans="1:26" s="278" customFormat="1" x14ac:dyDescent="0.25">
      <c r="A867" s="273"/>
      <c r="B867" s="273" t="s">
        <v>2284</v>
      </c>
      <c r="C867" s="273"/>
      <c r="D867" s="273"/>
      <c r="E867" s="273"/>
      <c r="F867" s="273" t="s">
        <v>2047</v>
      </c>
      <c r="G867" s="274">
        <v>41122</v>
      </c>
      <c r="H867" s="275">
        <v>1</v>
      </c>
      <c r="I867" s="275">
        <v>8</v>
      </c>
      <c r="J867" s="276">
        <v>2012</v>
      </c>
      <c r="K867" s="277" t="s">
        <v>56</v>
      </c>
      <c r="L867" s="277" t="s">
        <v>2285</v>
      </c>
      <c r="M867" s="277" t="s">
        <v>796</v>
      </c>
      <c r="N867" s="272">
        <v>725</v>
      </c>
      <c r="O867" s="110"/>
      <c r="Q867" s="279">
        <v>10</v>
      </c>
      <c r="R867" s="280">
        <f t="shared" si="116"/>
        <v>6.041666666666667</v>
      </c>
      <c r="S867" s="5">
        <v>241.66666666666669</v>
      </c>
      <c r="T867" s="313">
        <f t="shared" si="119"/>
        <v>247.70833333333334</v>
      </c>
      <c r="U867" s="15">
        <f t="shared" si="120"/>
        <v>6.0416666666666572</v>
      </c>
      <c r="V867" s="280">
        <f t="shared" si="117"/>
        <v>477.29166666666663</v>
      </c>
      <c r="W867" s="279">
        <v>17384</v>
      </c>
      <c r="Z867" s="281">
        <f t="shared" si="118"/>
        <v>41</v>
      </c>
    </row>
    <row r="868" spans="1:26" s="278" customFormat="1" x14ac:dyDescent="0.25">
      <c r="A868" s="273"/>
      <c r="B868" s="273" t="s">
        <v>2284</v>
      </c>
      <c r="C868" s="273"/>
      <c r="D868" s="273"/>
      <c r="E868" s="273"/>
      <c r="F868" s="273" t="s">
        <v>2047</v>
      </c>
      <c r="G868" s="274">
        <v>41122</v>
      </c>
      <c r="H868" s="275">
        <v>1</v>
      </c>
      <c r="I868" s="275">
        <v>8</v>
      </c>
      <c r="J868" s="276">
        <v>2012</v>
      </c>
      <c r="K868" s="277" t="s">
        <v>56</v>
      </c>
      <c r="L868" s="277" t="s">
        <v>2285</v>
      </c>
      <c r="M868" s="277" t="s">
        <v>796</v>
      </c>
      <c r="N868" s="272">
        <v>725</v>
      </c>
      <c r="O868" s="110"/>
      <c r="Q868" s="279">
        <v>10</v>
      </c>
      <c r="R868" s="280">
        <f t="shared" si="116"/>
        <v>6.041666666666667</v>
      </c>
      <c r="S868" s="5">
        <v>241.66666666666669</v>
      </c>
      <c r="T868" s="313">
        <f t="shared" si="119"/>
        <v>247.70833333333334</v>
      </c>
      <c r="U868" s="15">
        <f t="shared" si="120"/>
        <v>6.0416666666666572</v>
      </c>
      <c r="V868" s="280">
        <f t="shared" si="117"/>
        <v>477.29166666666663</v>
      </c>
      <c r="W868" s="279">
        <v>17384</v>
      </c>
      <c r="Z868" s="281">
        <f t="shared" si="118"/>
        <v>41</v>
      </c>
    </row>
    <row r="869" spans="1:26" s="278" customFormat="1" x14ac:dyDescent="0.25">
      <c r="A869" s="273"/>
      <c r="B869" s="273" t="s">
        <v>2284</v>
      </c>
      <c r="C869" s="273"/>
      <c r="D869" s="273"/>
      <c r="E869" s="273"/>
      <c r="F869" s="273" t="s">
        <v>2047</v>
      </c>
      <c r="G869" s="274">
        <v>41122</v>
      </c>
      <c r="H869" s="275">
        <v>1</v>
      </c>
      <c r="I869" s="275">
        <v>8</v>
      </c>
      <c r="J869" s="276">
        <v>2012</v>
      </c>
      <c r="K869" s="277" t="s">
        <v>56</v>
      </c>
      <c r="L869" s="277" t="s">
        <v>2285</v>
      </c>
      <c r="M869" s="277" t="s">
        <v>796</v>
      </c>
      <c r="N869" s="272">
        <v>725</v>
      </c>
      <c r="O869" s="110"/>
      <c r="Q869" s="279">
        <v>10</v>
      </c>
      <c r="R869" s="280">
        <f t="shared" si="116"/>
        <v>6.041666666666667</v>
      </c>
      <c r="S869" s="5">
        <v>241.66666666666669</v>
      </c>
      <c r="T869" s="313">
        <f t="shared" si="119"/>
        <v>247.70833333333334</v>
      </c>
      <c r="U869" s="15">
        <f t="shared" si="120"/>
        <v>6.0416666666666572</v>
      </c>
      <c r="V869" s="280">
        <f t="shared" si="117"/>
        <v>477.29166666666663</v>
      </c>
      <c r="W869" s="279">
        <v>17384</v>
      </c>
      <c r="Z869" s="281">
        <f t="shared" si="118"/>
        <v>41</v>
      </c>
    </row>
    <row r="870" spans="1:26" s="278" customFormat="1" x14ac:dyDescent="0.25">
      <c r="A870" s="273"/>
      <c r="B870" s="273" t="s">
        <v>2284</v>
      </c>
      <c r="C870" s="273"/>
      <c r="D870" s="273"/>
      <c r="E870" s="273"/>
      <c r="F870" s="273" t="s">
        <v>2047</v>
      </c>
      <c r="G870" s="274">
        <v>41122</v>
      </c>
      <c r="H870" s="275">
        <v>1</v>
      </c>
      <c r="I870" s="275">
        <v>8</v>
      </c>
      <c r="J870" s="276">
        <v>2012</v>
      </c>
      <c r="K870" s="277" t="s">
        <v>56</v>
      </c>
      <c r="L870" s="277" t="s">
        <v>2285</v>
      </c>
      <c r="M870" s="277" t="s">
        <v>796</v>
      </c>
      <c r="N870" s="272">
        <v>725</v>
      </c>
      <c r="O870" s="110"/>
      <c r="Q870" s="279">
        <v>10</v>
      </c>
      <c r="R870" s="280">
        <f t="shared" si="116"/>
        <v>6.041666666666667</v>
      </c>
      <c r="S870" s="5">
        <v>241.66666666666669</v>
      </c>
      <c r="T870" s="313">
        <f t="shared" si="119"/>
        <v>247.70833333333334</v>
      </c>
      <c r="U870" s="15">
        <f t="shared" si="120"/>
        <v>6.0416666666666572</v>
      </c>
      <c r="V870" s="280">
        <f t="shared" si="117"/>
        <v>477.29166666666663</v>
      </c>
      <c r="W870" s="279">
        <v>17384</v>
      </c>
      <c r="Z870" s="281">
        <f t="shared" si="118"/>
        <v>41</v>
      </c>
    </row>
    <row r="871" spans="1:26" s="278" customFormat="1" x14ac:dyDescent="0.25">
      <c r="A871" s="273"/>
      <c r="B871" s="273" t="s">
        <v>2284</v>
      </c>
      <c r="C871" s="273"/>
      <c r="D871" s="273"/>
      <c r="E871" s="273"/>
      <c r="F871" s="273" t="s">
        <v>2047</v>
      </c>
      <c r="G871" s="274">
        <v>41122</v>
      </c>
      <c r="H871" s="275">
        <v>1</v>
      </c>
      <c r="I871" s="275">
        <v>8</v>
      </c>
      <c r="J871" s="276">
        <v>2012</v>
      </c>
      <c r="K871" s="277" t="s">
        <v>56</v>
      </c>
      <c r="L871" s="277" t="s">
        <v>2285</v>
      </c>
      <c r="M871" s="277" t="s">
        <v>796</v>
      </c>
      <c r="N871" s="272">
        <v>725</v>
      </c>
      <c r="O871" s="110"/>
      <c r="Q871" s="279">
        <v>10</v>
      </c>
      <c r="R871" s="280">
        <f t="shared" si="116"/>
        <v>6.041666666666667</v>
      </c>
      <c r="S871" s="5">
        <v>241.66666666666669</v>
      </c>
      <c r="T871" s="313">
        <f t="shared" si="119"/>
        <v>247.70833333333334</v>
      </c>
      <c r="U871" s="15">
        <f t="shared" si="120"/>
        <v>6.0416666666666572</v>
      </c>
      <c r="V871" s="280">
        <f t="shared" si="117"/>
        <v>477.29166666666663</v>
      </c>
      <c r="W871" s="279">
        <v>17384</v>
      </c>
      <c r="Z871" s="281">
        <f t="shared" si="118"/>
        <v>41</v>
      </c>
    </row>
    <row r="872" spans="1:26" s="278" customFormat="1" x14ac:dyDescent="0.25">
      <c r="A872" s="273"/>
      <c r="B872" s="273" t="s">
        <v>2284</v>
      </c>
      <c r="C872" s="273"/>
      <c r="D872" s="273"/>
      <c r="E872" s="273"/>
      <c r="F872" s="273" t="s">
        <v>2047</v>
      </c>
      <c r="G872" s="274">
        <v>41122</v>
      </c>
      <c r="H872" s="275">
        <v>1</v>
      </c>
      <c r="I872" s="275">
        <v>8</v>
      </c>
      <c r="J872" s="276">
        <v>2012</v>
      </c>
      <c r="K872" s="277" t="s">
        <v>56</v>
      </c>
      <c r="L872" s="277" t="s">
        <v>2285</v>
      </c>
      <c r="M872" s="277" t="s">
        <v>796</v>
      </c>
      <c r="N872" s="272">
        <v>725</v>
      </c>
      <c r="O872" s="110"/>
      <c r="Q872" s="279">
        <v>10</v>
      </c>
      <c r="R872" s="280">
        <f t="shared" si="116"/>
        <v>6.041666666666667</v>
      </c>
      <c r="S872" s="5">
        <v>241.66666666666669</v>
      </c>
      <c r="T872" s="313">
        <f t="shared" si="119"/>
        <v>247.70833333333334</v>
      </c>
      <c r="U872" s="15">
        <f t="shared" si="120"/>
        <v>6.0416666666666572</v>
      </c>
      <c r="V872" s="280">
        <f t="shared" si="117"/>
        <v>477.29166666666663</v>
      </c>
      <c r="W872" s="279">
        <v>17384</v>
      </c>
      <c r="Z872" s="281">
        <f t="shared" si="118"/>
        <v>41</v>
      </c>
    </row>
    <row r="873" spans="1:26" s="278" customFormat="1" x14ac:dyDescent="0.25">
      <c r="A873" s="273"/>
      <c r="B873" s="273" t="s">
        <v>2284</v>
      </c>
      <c r="C873" s="273"/>
      <c r="D873" s="273"/>
      <c r="E873" s="273"/>
      <c r="F873" s="273" t="s">
        <v>2047</v>
      </c>
      <c r="G873" s="274">
        <v>41122</v>
      </c>
      <c r="H873" s="275">
        <v>1</v>
      </c>
      <c r="I873" s="275">
        <v>8</v>
      </c>
      <c r="J873" s="276">
        <v>2012</v>
      </c>
      <c r="K873" s="277" t="s">
        <v>56</v>
      </c>
      <c r="L873" s="277" t="s">
        <v>2285</v>
      </c>
      <c r="M873" s="277" t="s">
        <v>796</v>
      </c>
      <c r="N873" s="272">
        <v>725</v>
      </c>
      <c r="O873" s="110"/>
      <c r="Q873" s="279">
        <v>10</v>
      </c>
      <c r="R873" s="280">
        <f t="shared" si="116"/>
        <v>6.041666666666667</v>
      </c>
      <c r="S873" s="5">
        <v>241.66666666666669</v>
      </c>
      <c r="T873" s="313">
        <f t="shared" si="119"/>
        <v>247.70833333333334</v>
      </c>
      <c r="U873" s="15">
        <f t="shared" si="120"/>
        <v>6.0416666666666572</v>
      </c>
      <c r="V873" s="280">
        <f t="shared" si="117"/>
        <v>477.29166666666663</v>
      </c>
      <c r="W873" s="279">
        <v>17384</v>
      </c>
      <c r="Z873" s="281">
        <f t="shared" si="118"/>
        <v>41</v>
      </c>
    </row>
    <row r="874" spans="1:26" s="278" customFormat="1" x14ac:dyDescent="0.25">
      <c r="A874" s="273"/>
      <c r="B874" s="273" t="s">
        <v>2284</v>
      </c>
      <c r="C874" s="273"/>
      <c r="D874" s="273"/>
      <c r="E874" s="273"/>
      <c r="F874" s="273" t="s">
        <v>2047</v>
      </c>
      <c r="G874" s="274">
        <v>41122</v>
      </c>
      <c r="H874" s="275">
        <v>1</v>
      </c>
      <c r="I874" s="275">
        <v>8</v>
      </c>
      <c r="J874" s="276">
        <v>2012</v>
      </c>
      <c r="K874" s="277" t="s">
        <v>56</v>
      </c>
      <c r="L874" s="277" t="s">
        <v>2285</v>
      </c>
      <c r="M874" s="277" t="s">
        <v>796</v>
      </c>
      <c r="N874" s="272">
        <v>725</v>
      </c>
      <c r="O874" s="110"/>
      <c r="Q874" s="279">
        <v>10</v>
      </c>
      <c r="R874" s="280">
        <f t="shared" si="116"/>
        <v>6.041666666666667</v>
      </c>
      <c r="S874" s="5">
        <v>241.66666666666669</v>
      </c>
      <c r="T874" s="313">
        <f t="shared" si="119"/>
        <v>247.70833333333334</v>
      </c>
      <c r="U874" s="15">
        <f t="shared" si="120"/>
        <v>6.0416666666666572</v>
      </c>
      <c r="V874" s="280">
        <f t="shared" si="117"/>
        <v>477.29166666666663</v>
      </c>
      <c r="W874" s="279">
        <v>17384</v>
      </c>
      <c r="Z874" s="281">
        <f t="shared" si="118"/>
        <v>41</v>
      </c>
    </row>
    <row r="875" spans="1:26" s="278" customFormat="1" x14ac:dyDescent="0.25">
      <c r="A875" s="273"/>
      <c r="B875" s="273" t="s">
        <v>2284</v>
      </c>
      <c r="C875" s="273"/>
      <c r="D875" s="273"/>
      <c r="E875" s="273"/>
      <c r="F875" s="273" t="s">
        <v>2047</v>
      </c>
      <c r="G875" s="274">
        <v>41122</v>
      </c>
      <c r="H875" s="275">
        <v>1</v>
      </c>
      <c r="I875" s="275">
        <v>8</v>
      </c>
      <c r="J875" s="276">
        <v>2012</v>
      </c>
      <c r="K875" s="277" t="s">
        <v>56</v>
      </c>
      <c r="L875" s="277" t="s">
        <v>2285</v>
      </c>
      <c r="M875" s="277" t="s">
        <v>796</v>
      </c>
      <c r="N875" s="272">
        <v>725</v>
      </c>
      <c r="O875" s="110"/>
      <c r="Q875" s="279">
        <v>10</v>
      </c>
      <c r="R875" s="280">
        <f t="shared" si="116"/>
        <v>6.041666666666667</v>
      </c>
      <c r="S875" s="5">
        <v>241.66666666666669</v>
      </c>
      <c r="T875" s="313">
        <f t="shared" si="119"/>
        <v>247.70833333333334</v>
      </c>
      <c r="U875" s="15">
        <f t="shared" si="120"/>
        <v>6.0416666666666572</v>
      </c>
      <c r="V875" s="280">
        <f t="shared" si="117"/>
        <v>477.29166666666663</v>
      </c>
      <c r="W875" s="279">
        <v>17384</v>
      </c>
      <c r="Z875" s="281">
        <f t="shared" si="118"/>
        <v>41</v>
      </c>
    </row>
    <row r="876" spans="1:26" s="278" customFormat="1" x14ac:dyDescent="0.25">
      <c r="A876" s="273"/>
      <c r="B876" s="273" t="s">
        <v>2284</v>
      </c>
      <c r="C876" s="273"/>
      <c r="D876" s="273"/>
      <c r="E876" s="273"/>
      <c r="F876" s="273" t="s">
        <v>2047</v>
      </c>
      <c r="G876" s="274">
        <v>41122</v>
      </c>
      <c r="H876" s="275">
        <v>1</v>
      </c>
      <c r="I876" s="275">
        <v>8</v>
      </c>
      <c r="J876" s="276">
        <v>2012</v>
      </c>
      <c r="K876" s="277" t="s">
        <v>56</v>
      </c>
      <c r="L876" s="277" t="s">
        <v>2285</v>
      </c>
      <c r="M876" s="277" t="s">
        <v>796</v>
      </c>
      <c r="N876" s="272">
        <v>725</v>
      </c>
      <c r="O876" s="110"/>
      <c r="Q876" s="279">
        <v>10</v>
      </c>
      <c r="R876" s="280">
        <f t="shared" si="116"/>
        <v>6.041666666666667</v>
      </c>
      <c r="S876" s="5">
        <v>241.66666666666669</v>
      </c>
      <c r="T876" s="313">
        <f t="shared" si="119"/>
        <v>247.70833333333334</v>
      </c>
      <c r="U876" s="15">
        <f t="shared" si="120"/>
        <v>6.0416666666666572</v>
      </c>
      <c r="V876" s="280">
        <f t="shared" si="117"/>
        <v>477.29166666666663</v>
      </c>
      <c r="W876" s="279">
        <v>17384</v>
      </c>
      <c r="Z876" s="281">
        <f t="shared" si="118"/>
        <v>41</v>
      </c>
    </row>
    <row r="877" spans="1:26" s="278" customFormat="1" x14ac:dyDescent="0.25">
      <c r="A877" s="273"/>
      <c r="B877" s="273" t="s">
        <v>2284</v>
      </c>
      <c r="C877" s="273"/>
      <c r="D877" s="273"/>
      <c r="E877" s="273"/>
      <c r="F877" s="273" t="s">
        <v>2047</v>
      </c>
      <c r="G877" s="274">
        <v>41122</v>
      </c>
      <c r="H877" s="275">
        <v>1</v>
      </c>
      <c r="I877" s="275">
        <v>8</v>
      </c>
      <c r="J877" s="276">
        <v>2012</v>
      </c>
      <c r="K877" s="277" t="s">
        <v>56</v>
      </c>
      <c r="L877" s="277" t="s">
        <v>2285</v>
      </c>
      <c r="M877" s="277" t="s">
        <v>796</v>
      </c>
      <c r="N877" s="272">
        <v>725</v>
      </c>
      <c r="O877" s="110"/>
      <c r="Q877" s="279">
        <v>10</v>
      </c>
      <c r="R877" s="280">
        <f t="shared" si="116"/>
        <v>6.041666666666667</v>
      </c>
      <c r="S877" s="5">
        <v>241.66666666666669</v>
      </c>
      <c r="T877" s="313">
        <f t="shared" si="119"/>
        <v>247.70833333333334</v>
      </c>
      <c r="U877" s="15">
        <f t="shared" si="120"/>
        <v>6.0416666666666572</v>
      </c>
      <c r="V877" s="280">
        <f t="shared" si="117"/>
        <v>477.29166666666663</v>
      </c>
      <c r="W877" s="279">
        <v>17384</v>
      </c>
      <c r="Z877" s="281">
        <f t="shared" si="118"/>
        <v>41</v>
      </c>
    </row>
    <row r="878" spans="1:26" s="278" customFormat="1" x14ac:dyDescent="0.25">
      <c r="A878" s="273"/>
      <c r="B878" s="273" t="s">
        <v>2284</v>
      </c>
      <c r="C878" s="273"/>
      <c r="D878" s="273"/>
      <c r="E878" s="273"/>
      <c r="F878" s="273" t="s">
        <v>2047</v>
      </c>
      <c r="G878" s="274">
        <v>41122</v>
      </c>
      <c r="H878" s="275">
        <v>1</v>
      </c>
      <c r="I878" s="275">
        <v>8</v>
      </c>
      <c r="J878" s="276">
        <v>2012</v>
      </c>
      <c r="K878" s="277" t="s">
        <v>56</v>
      </c>
      <c r="L878" s="277" t="s">
        <v>2285</v>
      </c>
      <c r="M878" s="277" t="s">
        <v>796</v>
      </c>
      <c r="N878" s="272">
        <v>725</v>
      </c>
      <c r="O878" s="110"/>
      <c r="Q878" s="279">
        <v>10</v>
      </c>
      <c r="R878" s="280">
        <f t="shared" si="116"/>
        <v>6.041666666666667</v>
      </c>
      <c r="S878" s="5">
        <v>241.66666666666669</v>
      </c>
      <c r="T878" s="313">
        <f t="shared" si="119"/>
        <v>247.70833333333334</v>
      </c>
      <c r="U878" s="15">
        <f t="shared" si="120"/>
        <v>6.0416666666666572</v>
      </c>
      <c r="V878" s="280">
        <f t="shared" si="117"/>
        <v>477.29166666666663</v>
      </c>
      <c r="W878" s="279">
        <v>17384</v>
      </c>
      <c r="Z878" s="281">
        <f t="shared" si="118"/>
        <v>41</v>
      </c>
    </row>
    <row r="879" spans="1:26" s="278" customFormat="1" x14ac:dyDescent="0.25">
      <c r="A879" s="273"/>
      <c r="B879" s="273" t="s">
        <v>2284</v>
      </c>
      <c r="C879" s="273"/>
      <c r="D879" s="273"/>
      <c r="E879" s="273"/>
      <c r="F879" s="273" t="s">
        <v>2047</v>
      </c>
      <c r="G879" s="274">
        <v>41122</v>
      </c>
      <c r="H879" s="275">
        <v>1</v>
      </c>
      <c r="I879" s="275">
        <v>8</v>
      </c>
      <c r="J879" s="276">
        <v>2012</v>
      </c>
      <c r="K879" s="277" t="s">
        <v>56</v>
      </c>
      <c r="L879" s="277" t="s">
        <v>2285</v>
      </c>
      <c r="M879" s="277" t="s">
        <v>796</v>
      </c>
      <c r="N879" s="272">
        <v>725</v>
      </c>
      <c r="O879" s="110"/>
      <c r="Q879" s="279">
        <v>10</v>
      </c>
      <c r="R879" s="280">
        <f t="shared" si="116"/>
        <v>6.041666666666667</v>
      </c>
      <c r="S879" s="5">
        <v>241.66666666666669</v>
      </c>
      <c r="T879" s="313">
        <f t="shared" si="119"/>
        <v>247.70833333333334</v>
      </c>
      <c r="U879" s="15">
        <f t="shared" si="120"/>
        <v>6.0416666666666572</v>
      </c>
      <c r="V879" s="280">
        <f t="shared" si="117"/>
        <v>477.29166666666663</v>
      </c>
      <c r="W879" s="279">
        <v>17384</v>
      </c>
      <c r="Z879" s="281">
        <f t="shared" si="118"/>
        <v>41</v>
      </c>
    </row>
    <row r="880" spans="1:26" s="278" customFormat="1" x14ac:dyDescent="0.25">
      <c r="A880" s="273"/>
      <c r="B880" s="273" t="s">
        <v>2284</v>
      </c>
      <c r="C880" s="273"/>
      <c r="D880" s="273"/>
      <c r="E880" s="273"/>
      <c r="F880" s="273" t="s">
        <v>2047</v>
      </c>
      <c r="G880" s="274">
        <v>41122</v>
      </c>
      <c r="H880" s="275">
        <v>1</v>
      </c>
      <c r="I880" s="275">
        <v>8</v>
      </c>
      <c r="J880" s="276">
        <v>2012</v>
      </c>
      <c r="K880" s="277" t="s">
        <v>56</v>
      </c>
      <c r="L880" s="277" t="s">
        <v>2285</v>
      </c>
      <c r="M880" s="277" t="s">
        <v>796</v>
      </c>
      <c r="N880" s="272">
        <v>725</v>
      </c>
      <c r="O880" s="110"/>
      <c r="Q880" s="279">
        <v>10</v>
      </c>
      <c r="R880" s="280">
        <f t="shared" si="116"/>
        <v>6.041666666666667</v>
      </c>
      <c r="S880" s="5">
        <v>241.66666666666669</v>
      </c>
      <c r="T880" s="313">
        <f t="shared" si="119"/>
        <v>247.70833333333334</v>
      </c>
      <c r="U880" s="15">
        <f t="shared" si="120"/>
        <v>6.0416666666666572</v>
      </c>
      <c r="V880" s="280">
        <f t="shared" si="117"/>
        <v>477.29166666666663</v>
      </c>
      <c r="W880" s="279">
        <v>17384</v>
      </c>
      <c r="Z880" s="281">
        <f t="shared" si="118"/>
        <v>41</v>
      </c>
    </row>
    <row r="881" spans="1:26" s="278" customFormat="1" x14ac:dyDescent="0.25">
      <c r="A881" s="273"/>
      <c r="B881" s="273" t="s">
        <v>2284</v>
      </c>
      <c r="C881" s="273"/>
      <c r="D881" s="273"/>
      <c r="E881" s="273"/>
      <c r="F881" s="273" t="s">
        <v>2047</v>
      </c>
      <c r="G881" s="274">
        <v>41122</v>
      </c>
      <c r="H881" s="275">
        <v>1</v>
      </c>
      <c r="I881" s="275">
        <v>8</v>
      </c>
      <c r="J881" s="276">
        <v>2012</v>
      </c>
      <c r="K881" s="277" t="s">
        <v>56</v>
      </c>
      <c r="L881" s="277" t="s">
        <v>2285</v>
      </c>
      <c r="M881" s="277" t="s">
        <v>796</v>
      </c>
      <c r="N881" s="272">
        <v>725</v>
      </c>
      <c r="O881" s="110"/>
      <c r="Q881" s="279">
        <v>10</v>
      </c>
      <c r="R881" s="280">
        <f t="shared" si="116"/>
        <v>6.041666666666667</v>
      </c>
      <c r="S881" s="5">
        <v>241.66666666666669</v>
      </c>
      <c r="T881" s="313">
        <f t="shared" si="119"/>
        <v>247.70833333333334</v>
      </c>
      <c r="U881" s="15">
        <f t="shared" si="120"/>
        <v>6.0416666666666572</v>
      </c>
      <c r="V881" s="280">
        <f t="shared" si="117"/>
        <v>477.29166666666663</v>
      </c>
      <c r="W881" s="279">
        <v>17384</v>
      </c>
      <c r="Z881" s="281">
        <f t="shared" si="118"/>
        <v>41</v>
      </c>
    </row>
    <row r="882" spans="1:26" s="278" customFormat="1" x14ac:dyDescent="0.25">
      <c r="A882" s="273"/>
      <c r="B882" s="273" t="s">
        <v>2284</v>
      </c>
      <c r="C882" s="273"/>
      <c r="D882" s="273"/>
      <c r="E882" s="273"/>
      <c r="F882" s="273" t="s">
        <v>2047</v>
      </c>
      <c r="G882" s="274">
        <v>41122</v>
      </c>
      <c r="H882" s="275">
        <v>1</v>
      </c>
      <c r="I882" s="275">
        <v>8</v>
      </c>
      <c r="J882" s="276">
        <v>2012</v>
      </c>
      <c r="K882" s="277" t="s">
        <v>56</v>
      </c>
      <c r="L882" s="277" t="s">
        <v>2285</v>
      </c>
      <c r="M882" s="277" t="s">
        <v>796</v>
      </c>
      <c r="N882" s="272">
        <v>725</v>
      </c>
      <c r="O882" s="110"/>
      <c r="Q882" s="279">
        <v>10</v>
      </c>
      <c r="R882" s="280">
        <f t="shared" si="116"/>
        <v>6.041666666666667</v>
      </c>
      <c r="S882" s="5">
        <v>241.66666666666669</v>
      </c>
      <c r="T882" s="313">
        <f t="shared" si="119"/>
        <v>247.70833333333334</v>
      </c>
      <c r="U882" s="15">
        <f t="shared" si="120"/>
        <v>6.0416666666666572</v>
      </c>
      <c r="V882" s="280">
        <f t="shared" si="117"/>
        <v>477.29166666666663</v>
      </c>
      <c r="W882" s="279">
        <v>17384</v>
      </c>
      <c r="Z882" s="281">
        <f t="shared" si="118"/>
        <v>41</v>
      </c>
    </row>
    <row r="883" spans="1:26" s="278" customFormat="1" x14ac:dyDescent="0.25">
      <c r="A883" s="273"/>
      <c r="B883" s="273"/>
      <c r="C883" s="273"/>
      <c r="D883" s="273"/>
      <c r="E883" s="273"/>
      <c r="F883" s="273"/>
      <c r="N883" s="109">
        <f>SUM(N792:P882)</f>
        <v>269282.75748000015</v>
      </c>
      <c r="O883" s="269">
        <f>SUM(O792:O841)</f>
        <v>0</v>
      </c>
      <c r="P883" s="269">
        <f>SUM(P792:P841)</f>
        <v>0</v>
      </c>
      <c r="Q883" s="282"/>
      <c r="R883" s="113">
        <f>SUM(R792:R882)</f>
        <v>2244.0229789999953</v>
      </c>
      <c r="S883" s="113">
        <v>89760.919160000121</v>
      </c>
      <c r="T883" s="113">
        <f>SUM(T792:T882)</f>
        <v>92004.94213899989</v>
      </c>
      <c r="U883" s="113">
        <f>SUM(U792:U882)</f>
        <v>2244.0229789999999</v>
      </c>
      <c r="V883" s="113">
        <f>SUM(V792:V882)</f>
        <v>177277.81534099966</v>
      </c>
      <c r="Z883" s="281"/>
    </row>
    <row r="884" spans="1:26" s="278" customFormat="1" x14ac:dyDescent="0.25">
      <c r="A884" s="273"/>
      <c r="B884" s="273"/>
      <c r="C884" s="273"/>
      <c r="D884" s="273"/>
      <c r="E884" s="273"/>
      <c r="F884" s="273"/>
      <c r="N884" s="102"/>
      <c r="O884" s="110"/>
      <c r="P884" s="110"/>
      <c r="Q884" s="279"/>
      <c r="R884" s="280"/>
      <c r="S884" s="280"/>
      <c r="T884" s="280"/>
      <c r="U884" s="280"/>
      <c r="V884" s="280"/>
      <c r="Z884" s="281"/>
    </row>
    <row r="885" spans="1:26" s="278" customFormat="1" x14ac:dyDescent="0.25">
      <c r="A885" s="273"/>
      <c r="B885" s="273" t="s">
        <v>2286</v>
      </c>
      <c r="C885" s="273"/>
      <c r="D885" s="273" t="s">
        <v>2287</v>
      </c>
      <c r="E885" s="273"/>
      <c r="F885" s="273" t="s">
        <v>865</v>
      </c>
      <c r="G885" s="274">
        <v>41180</v>
      </c>
      <c r="H885" s="275">
        <v>28</v>
      </c>
      <c r="I885" s="275">
        <v>9</v>
      </c>
      <c r="J885" s="276">
        <v>2012</v>
      </c>
      <c r="K885" s="277" t="s">
        <v>56</v>
      </c>
      <c r="L885" s="277" t="s">
        <v>2288</v>
      </c>
      <c r="M885" s="277" t="s">
        <v>796</v>
      </c>
      <c r="N885" s="272">
        <v>18071.64</v>
      </c>
      <c r="O885" s="110"/>
      <c r="Q885" s="279">
        <v>10</v>
      </c>
      <c r="R885" s="280">
        <f>(N885/Q885)/12</f>
        <v>150.59700000000001</v>
      </c>
      <c r="S885" s="5">
        <v>5873.2830000000004</v>
      </c>
      <c r="T885" s="313">
        <f>Z885*R885</f>
        <v>6023.88</v>
      </c>
      <c r="U885" s="15">
        <f>T885-S885</f>
        <v>150.59699999999975</v>
      </c>
      <c r="V885" s="280">
        <f>N885-T885</f>
        <v>12047.759999999998</v>
      </c>
      <c r="W885" s="279">
        <v>17419</v>
      </c>
      <c r="Z885" s="281">
        <f>IF((DATEDIF(G885,Z$4,"m"))&gt;=120,120,(DATEDIF(G885,Z$4,"m")))</f>
        <v>40</v>
      </c>
    </row>
    <row r="886" spans="1:26" x14ac:dyDescent="0.25">
      <c r="B886" s="97" t="s">
        <v>2289</v>
      </c>
      <c r="D886" s="98">
        <v>2000</v>
      </c>
      <c r="F886" s="233" t="s">
        <v>2249</v>
      </c>
      <c r="G886" s="132">
        <v>41190</v>
      </c>
      <c r="H886" s="270">
        <v>8</v>
      </c>
      <c r="I886" s="270">
        <v>10</v>
      </c>
      <c r="J886" s="271">
        <v>2012</v>
      </c>
      <c r="K886" s="97" t="s">
        <v>56</v>
      </c>
      <c r="L886" s="97" t="s">
        <v>2290</v>
      </c>
      <c r="M886" s="97" t="s">
        <v>796</v>
      </c>
      <c r="N886" s="188">
        <v>9072.7099999999991</v>
      </c>
      <c r="O886" s="187" t="s">
        <v>1666</v>
      </c>
      <c r="P886" s="103"/>
      <c r="Q886" s="103">
        <v>10</v>
      </c>
      <c r="R886" s="280">
        <f>(N886/Q886)/12</f>
        <v>75.605916666666658</v>
      </c>
      <c r="S886" s="5">
        <v>2873.0248333333329</v>
      </c>
      <c r="T886" s="313">
        <f>Z886*R886</f>
        <v>2948.6307499999998</v>
      </c>
      <c r="U886" s="15">
        <f>T886-S886</f>
        <v>75.605916666666872</v>
      </c>
      <c r="V886" s="135">
        <f>N886-T886</f>
        <v>6124.0792499999989</v>
      </c>
      <c r="W886" s="103">
        <v>17577</v>
      </c>
      <c r="X886" s="136"/>
      <c r="Y886" s="230"/>
      <c r="Z886" s="114">
        <f>IF((DATEDIF(G886,Z$4,"m"))&gt;=120,120,(DATEDIF(G886,Z$4,"m")))</f>
        <v>39</v>
      </c>
    </row>
    <row r="887" spans="1:26" s="279" customFormat="1" x14ac:dyDescent="0.25">
      <c r="A887" s="277"/>
      <c r="B887" s="283" t="s">
        <v>2291</v>
      </c>
      <c r="C887" s="283" t="s">
        <v>1741</v>
      </c>
      <c r="D887" s="283" t="s">
        <v>2292</v>
      </c>
      <c r="E887" s="283" t="s">
        <v>2293</v>
      </c>
      <c r="F887" s="284" t="s">
        <v>2047</v>
      </c>
      <c r="G887" s="285">
        <v>41235</v>
      </c>
      <c r="H887" s="286">
        <v>22</v>
      </c>
      <c r="I887" s="286">
        <v>11</v>
      </c>
      <c r="J887" s="287">
        <v>2012</v>
      </c>
      <c r="K887" s="283" t="s">
        <v>56</v>
      </c>
      <c r="L887" s="283" t="s">
        <v>2294</v>
      </c>
      <c r="M887" s="283" t="s">
        <v>796</v>
      </c>
      <c r="N887" s="288">
        <v>9495</v>
      </c>
      <c r="O887" s="289" t="s">
        <v>1666</v>
      </c>
      <c r="P887" s="290"/>
      <c r="Q887" s="279">
        <v>10</v>
      </c>
      <c r="R887" s="280">
        <f>(N887/Q887)/12</f>
        <v>79.125</v>
      </c>
      <c r="S887" s="5">
        <v>2927.625</v>
      </c>
      <c r="T887" s="313">
        <f>Z887*R887</f>
        <v>3006.75</v>
      </c>
      <c r="U887" s="15">
        <f>T887-S887</f>
        <v>79.125</v>
      </c>
      <c r="V887" s="291">
        <f>N887-T887</f>
        <v>6488.25</v>
      </c>
      <c r="W887" s="279">
        <v>17876</v>
      </c>
      <c r="X887" s="292"/>
      <c r="Y887" s="293"/>
      <c r="Z887" s="281">
        <f>IF((DATEDIF(G887,Z$4,"m"))&gt;=120,120,(DATEDIF(G887,Z$4,"m")))</f>
        <v>38</v>
      </c>
    </row>
    <row r="888" spans="1:26" s="279" customFormat="1" x14ac:dyDescent="0.25">
      <c r="A888" s="277"/>
      <c r="B888" s="277"/>
      <c r="C888" s="277"/>
      <c r="D888" s="277"/>
      <c r="E888" s="277"/>
      <c r="F888" s="273"/>
      <c r="G888" s="274"/>
      <c r="H888" s="367"/>
      <c r="I888" s="367"/>
      <c r="J888" s="368"/>
      <c r="K888" s="277"/>
      <c r="L888" s="277"/>
      <c r="M888" s="277"/>
      <c r="N888" s="109">
        <f>SUM(N885:N887)</f>
        <v>36639.35</v>
      </c>
      <c r="O888" s="109">
        <f t="shared" ref="O888:V888" si="121">SUM(O885:O887)</f>
        <v>0</v>
      </c>
      <c r="P888" s="109">
        <f t="shared" si="121"/>
        <v>0</v>
      </c>
      <c r="Q888" s="297"/>
      <c r="R888" s="109">
        <f t="shared" si="121"/>
        <v>305.32791666666668</v>
      </c>
      <c r="S888" s="109">
        <v>11673.932833333332</v>
      </c>
      <c r="T888" s="109">
        <f t="shared" si="121"/>
        <v>11979.260749999999</v>
      </c>
      <c r="U888" s="109">
        <f t="shared" si="121"/>
        <v>305.32791666666662</v>
      </c>
      <c r="V888" s="109">
        <f t="shared" si="121"/>
        <v>24660.089249999997</v>
      </c>
      <c r="X888" s="292"/>
      <c r="Y888" s="293"/>
      <c r="Z888" s="369"/>
    </row>
    <row r="889" spans="1:26" s="279" customFormat="1" x14ac:dyDescent="0.25">
      <c r="A889" s="277"/>
      <c r="B889" s="277"/>
      <c r="C889" s="277"/>
      <c r="D889" s="277"/>
      <c r="E889" s="277"/>
      <c r="F889" s="273"/>
      <c r="G889" s="274"/>
      <c r="H889" s="367"/>
      <c r="I889" s="367"/>
      <c r="J889" s="368"/>
      <c r="K889" s="277"/>
      <c r="L889" s="277"/>
      <c r="M889" s="277"/>
      <c r="N889" s="186"/>
      <c r="O889" s="187"/>
      <c r="R889" s="280"/>
      <c r="S889" s="5"/>
      <c r="T889" s="313"/>
      <c r="U889" s="15"/>
      <c r="V889" s="280"/>
      <c r="X889" s="292"/>
      <c r="Y889" s="293"/>
      <c r="Z889" s="369"/>
    </row>
    <row r="890" spans="1:26" x14ac:dyDescent="0.25">
      <c r="A890" s="105" t="s">
        <v>2295</v>
      </c>
      <c r="B890" s="111"/>
      <c r="N890" s="115">
        <f>+N883+N790+N775+N888</f>
        <v>376447.56248000014</v>
      </c>
      <c r="O890" s="115"/>
      <c r="P890" s="115"/>
      <c r="Q890" s="87"/>
      <c r="R890" s="115">
        <f>+R883+R790+R775+R888</f>
        <v>3137.0630206666619</v>
      </c>
      <c r="S890" s="115">
        <v>126079.17511833346</v>
      </c>
      <c r="T890" s="115">
        <f>+T883+T790+T775+T888</f>
        <v>129216.23813899989</v>
      </c>
      <c r="U890" s="115">
        <f>+U883+U790+U775+U888</f>
        <v>3137.0630206666669</v>
      </c>
      <c r="V890" s="115">
        <f>+V883+V790+V775+V888</f>
        <v>247231.32434099965</v>
      </c>
    </row>
    <row r="891" spans="1:26" x14ac:dyDescent="0.25">
      <c r="Q891" s="136"/>
    </row>
    <row r="892" spans="1:26" ht="16.5" thickBot="1" x14ac:dyDescent="0.3">
      <c r="A892" s="22" t="s">
        <v>724</v>
      </c>
      <c r="N892" s="294">
        <f>+N890+N771</f>
        <v>7944666.0661187135</v>
      </c>
      <c r="O892" s="294">
        <f>+O890+O771</f>
        <v>0</v>
      </c>
      <c r="P892" s="294">
        <f>+P890+P771</f>
        <v>0</v>
      </c>
      <c r="Q892" s="297"/>
      <c r="R892" s="294">
        <f>+R890+R771</f>
        <v>58608.335384322643</v>
      </c>
      <c r="S892" s="294">
        <v>6022088.862873788</v>
      </c>
      <c r="T892" s="294">
        <f>+T890+T771</f>
        <v>6080697.1982581094</v>
      </c>
      <c r="U892" s="294">
        <f>+U890+U771</f>
        <v>58608.33538432268</v>
      </c>
      <c r="V892" s="294">
        <f>+V890+V771</f>
        <v>1863968.8678606045</v>
      </c>
    </row>
    <row r="893" spans="1:26" ht="16.5" thickTop="1" x14ac:dyDescent="0.25">
      <c r="Q893" s="103"/>
    </row>
    <row r="894" spans="1:26" s="103" customFormat="1" x14ac:dyDescent="0.25">
      <c r="A894" s="97"/>
      <c r="B894" s="97" t="s">
        <v>2296</v>
      </c>
      <c r="C894" s="97"/>
      <c r="D894" s="97"/>
      <c r="E894" s="97"/>
      <c r="F894" s="273" t="s">
        <v>2047</v>
      </c>
      <c r="G894" s="132">
        <v>41304</v>
      </c>
      <c r="H894" s="133">
        <v>30</v>
      </c>
      <c r="I894" s="133">
        <v>1</v>
      </c>
      <c r="J894" s="134">
        <v>2013</v>
      </c>
      <c r="K894" s="97" t="s">
        <v>56</v>
      </c>
      <c r="L894" s="97" t="s">
        <v>2297</v>
      </c>
      <c r="M894" s="97" t="s">
        <v>796</v>
      </c>
      <c r="N894" s="186">
        <v>7850</v>
      </c>
      <c r="O894" s="187" t="s">
        <v>1666</v>
      </c>
      <c r="Q894" s="103">
        <v>10</v>
      </c>
      <c r="R894" s="135">
        <f>(N894/Q894)/12</f>
        <v>65.416666666666671</v>
      </c>
      <c r="S894" s="5">
        <v>2289.5833333333335</v>
      </c>
      <c r="T894" s="313">
        <f>Z894*R894</f>
        <v>2355</v>
      </c>
      <c r="U894" s="15">
        <f>T894-S894</f>
        <v>65.416666666666515</v>
      </c>
      <c r="V894" s="280">
        <f>N894-T894</f>
        <v>5495</v>
      </c>
      <c r="W894" s="103">
        <v>17876</v>
      </c>
      <c r="X894" s="136"/>
      <c r="Y894" s="230"/>
      <c r="Z894" s="114">
        <f>IF((DATEDIF(G894,Z$4,"m"))&gt;=120,120,(DATEDIF(G894,Z$4,"m")))</f>
        <v>36</v>
      </c>
    </row>
    <row r="895" spans="1:26" s="103" customFormat="1" x14ac:dyDescent="0.25">
      <c r="A895" s="97"/>
      <c r="B895" s="97" t="s">
        <v>2296</v>
      </c>
      <c r="C895" s="97"/>
      <c r="D895" s="97"/>
      <c r="E895" s="97"/>
      <c r="F895" s="273" t="s">
        <v>2047</v>
      </c>
      <c r="G895" s="132">
        <v>41304</v>
      </c>
      <c r="H895" s="133">
        <v>30</v>
      </c>
      <c r="I895" s="133">
        <v>1</v>
      </c>
      <c r="J895" s="134">
        <v>2013</v>
      </c>
      <c r="K895" s="97" t="s">
        <v>56</v>
      </c>
      <c r="L895" s="97" t="s">
        <v>2297</v>
      </c>
      <c r="M895" s="97" t="s">
        <v>796</v>
      </c>
      <c r="N895" s="186">
        <v>7850</v>
      </c>
      <c r="O895" s="187" t="s">
        <v>1666</v>
      </c>
      <c r="Q895" s="103">
        <v>10</v>
      </c>
      <c r="R895" s="135">
        <f>(N895/Q895)/12</f>
        <v>65.416666666666671</v>
      </c>
      <c r="S895" s="5">
        <v>2289.5833333333335</v>
      </c>
      <c r="T895" s="313">
        <f>Z895*R895</f>
        <v>2355</v>
      </c>
      <c r="U895" s="15">
        <f>T895-S895</f>
        <v>65.416666666666515</v>
      </c>
      <c r="V895" s="280">
        <f>N895-T895</f>
        <v>5495</v>
      </c>
      <c r="W895" s="103">
        <v>17876</v>
      </c>
      <c r="X895" s="136"/>
      <c r="Y895" s="230"/>
      <c r="Z895" s="114">
        <f>IF((DATEDIF(G895,Z$4,"m"))&gt;=120,120,(DATEDIF(G895,Z$4,"m")))</f>
        <v>36</v>
      </c>
    </row>
    <row r="896" spans="1:26" s="103" customFormat="1" x14ac:dyDescent="0.25">
      <c r="A896" s="97"/>
      <c r="B896" s="97"/>
      <c r="C896" s="97"/>
      <c r="D896" s="97"/>
      <c r="E896" s="97"/>
      <c r="F896" s="97"/>
      <c r="G896" s="132"/>
      <c r="H896" s="133"/>
      <c r="I896" s="133"/>
      <c r="J896" s="134"/>
      <c r="K896" s="97"/>
      <c r="L896" s="97"/>
      <c r="M896" s="97"/>
      <c r="N896" s="109">
        <f>SUM(N893:N895)</f>
        <v>15700</v>
      </c>
      <c r="O896" s="269"/>
      <c r="P896" s="112"/>
      <c r="Q896" s="282"/>
      <c r="R896" s="113">
        <f>SUM(R893:R895)</f>
        <v>130.83333333333334</v>
      </c>
      <c r="S896" s="113">
        <v>4579.166666666667</v>
      </c>
      <c r="T896" s="113">
        <f>SUM(T893:T895)</f>
        <v>4710</v>
      </c>
      <c r="U896" s="113">
        <f>SUM(U893:U895)</f>
        <v>130.83333333333303</v>
      </c>
      <c r="V896" s="113">
        <f>SUM(V893:V895)</f>
        <v>10990</v>
      </c>
      <c r="X896" s="136"/>
      <c r="Y896" s="230"/>
      <c r="Z896" s="114"/>
    </row>
    <row r="897" spans="1:27" x14ac:dyDescent="0.25">
      <c r="Q897" s="103"/>
    </row>
    <row r="898" spans="1:27" s="103" customFormat="1" x14ac:dyDescent="0.25">
      <c r="A898" s="97"/>
      <c r="B898" s="97" t="s">
        <v>2298</v>
      </c>
      <c r="C898" s="97" t="s">
        <v>2299</v>
      </c>
      <c r="D898" s="97" t="s">
        <v>2300</v>
      </c>
      <c r="E898" s="97"/>
      <c r="F898" s="97" t="s">
        <v>1679</v>
      </c>
      <c r="G898" s="132">
        <v>41309</v>
      </c>
      <c r="H898" s="133">
        <v>4</v>
      </c>
      <c r="I898" s="133">
        <v>2</v>
      </c>
      <c r="J898" s="134">
        <v>2013</v>
      </c>
      <c r="K898" s="97" t="s">
        <v>56</v>
      </c>
      <c r="L898" s="97" t="s">
        <v>2301</v>
      </c>
      <c r="M898" s="97" t="s">
        <v>796</v>
      </c>
      <c r="N898" s="186">
        <v>23417.1</v>
      </c>
      <c r="O898" s="187" t="s">
        <v>1666</v>
      </c>
      <c r="Q898" s="103">
        <v>10</v>
      </c>
      <c r="R898" s="135">
        <f>(N898/Q898)/12</f>
        <v>195.14250000000001</v>
      </c>
      <c r="S898" s="5">
        <v>6634.8450000000003</v>
      </c>
      <c r="T898" s="313">
        <f>Z898*R898</f>
        <v>6829.9875000000002</v>
      </c>
      <c r="U898" s="15">
        <f>T898-S898</f>
        <v>195.14249999999993</v>
      </c>
      <c r="V898" s="280">
        <f>N898-T898</f>
        <v>16587.112499999999</v>
      </c>
      <c r="W898" s="103">
        <v>17890</v>
      </c>
      <c r="X898" s="136"/>
      <c r="Y898" s="230"/>
      <c r="Z898" s="114">
        <f>IF((DATEDIF(G898,Z$4,"m"))&gt;=120,120,(DATEDIF(G898,Z$4,"m")))</f>
        <v>35</v>
      </c>
    </row>
    <row r="899" spans="1:27" s="103" customFormat="1" x14ac:dyDescent="0.25">
      <c r="B899" s="103" t="s">
        <v>2302</v>
      </c>
      <c r="C899" s="103" t="s">
        <v>2177</v>
      </c>
      <c r="E899" s="97" t="s">
        <v>2303</v>
      </c>
      <c r="F899" s="97" t="s">
        <v>563</v>
      </c>
      <c r="G899" s="132">
        <v>41316</v>
      </c>
      <c r="H899" s="133">
        <v>11</v>
      </c>
      <c r="I899" s="133">
        <v>2</v>
      </c>
      <c r="J899" s="134">
        <v>2013</v>
      </c>
      <c r="K899" s="97" t="s">
        <v>56</v>
      </c>
      <c r="L899" s="97" t="s">
        <v>2304</v>
      </c>
      <c r="M899" s="97" t="s">
        <v>796</v>
      </c>
      <c r="N899" s="186">
        <v>38490</v>
      </c>
      <c r="O899" s="187"/>
      <c r="Q899" s="103">
        <v>10</v>
      </c>
      <c r="R899" s="135">
        <f>(((N899)-1)/10)/12</f>
        <v>320.74166666666667</v>
      </c>
      <c r="S899" s="5">
        <v>10905.216666666667</v>
      </c>
      <c r="T899" s="313">
        <f>Z899*R899</f>
        <v>11225.958333333334</v>
      </c>
      <c r="U899" s="15">
        <f>T899-S899</f>
        <v>320.74166666666679</v>
      </c>
      <c r="V899" s="280">
        <f>N899-T899</f>
        <v>27264.041666666664</v>
      </c>
      <c r="W899" s="103">
        <v>18036</v>
      </c>
      <c r="Y899" s="135"/>
      <c r="Z899" s="114">
        <f>IF((DATEDIF(G899,Z$4,"m"))&gt;=120,120,(DATEDIF(G899,Z$4,"m")))</f>
        <v>35</v>
      </c>
    </row>
    <row r="900" spans="1:27" x14ac:dyDescent="0.25">
      <c r="N900" s="109">
        <f>SUM(N898:N899)</f>
        <v>61907.1</v>
      </c>
      <c r="O900" s="269"/>
      <c r="P900" s="112"/>
      <c r="Q900" s="282"/>
      <c r="R900" s="113">
        <f>SUM(R898:R899)</f>
        <v>515.88416666666672</v>
      </c>
      <c r="S900" s="113">
        <v>17540.061666666668</v>
      </c>
      <c r="T900" s="113">
        <f>SUM(T898:T899)</f>
        <v>18055.945833333335</v>
      </c>
      <c r="U900" s="113">
        <f>SUM(U898:U899)</f>
        <v>515.88416666666672</v>
      </c>
      <c r="V900" s="113">
        <f>SUM(V898:V899)</f>
        <v>43851.15416666666</v>
      </c>
    </row>
    <row r="901" spans="1:27" x14ac:dyDescent="0.25">
      <c r="Q901" s="103"/>
    </row>
    <row r="902" spans="1:27" x14ac:dyDescent="0.25">
      <c r="B902" s="98" t="s">
        <v>2305</v>
      </c>
      <c r="F902" s="98" t="s">
        <v>2306</v>
      </c>
      <c r="G902" s="132">
        <v>41438</v>
      </c>
      <c r="H902" s="270">
        <v>13</v>
      </c>
      <c r="I902" s="270">
        <v>6</v>
      </c>
      <c r="J902" s="271">
        <v>2013</v>
      </c>
      <c r="K902" s="97" t="s">
        <v>56</v>
      </c>
      <c r="L902" s="97" t="s">
        <v>2307</v>
      </c>
      <c r="M902" s="97" t="s">
        <v>796</v>
      </c>
      <c r="N902" s="186">
        <v>26845</v>
      </c>
      <c r="Q902" s="103">
        <v>10</v>
      </c>
      <c r="R902" s="135">
        <f>(((N902)-1)/10)/12</f>
        <v>223.70000000000002</v>
      </c>
      <c r="S902" s="5">
        <v>6711.0000000000009</v>
      </c>
      <c r="T902" s="313">
        <f>Z902*R902</f>
        <v>6934.7000000000007</v>
      </c>
      <c r="U902" s="15">
        <f>T902-S902</f>
        <v>223.69999999999982</v>
      </c>
      <c r="V902" s="280">
        <f>N902-T902</f>
        <v>19910.3</v>
      </c>
      <c r="W902" s="103">
        <v>18257</v>
      </c>
      <c r="X902" s="103"/>
      <c r="Y902" s="135"/>
      <c r="Z902" s="114">
        <f>IF((DATEDIF(G902,Z$4,"m"))&gt;=120,120,(DATEDIF(G902,Z$4,"m")))</f>
        <v>31</v>
      </c>
      <c r="AA902" s="296" t="s">
        <v>2308</v>
      </c>
    </row>
    <row r="903" spans="1:27" x14ac:dyDescent="0.25">
      <c r="B903" s="98" t="s">
        <v>2309</v>
      </c>
      <c r="C903" s="98" t="s">
        <v>2310</v>
      </c>
      <c r="F903" s="98" t="s">
        <v>2311</v>
      </c>
      <c r="G903" s="132">
        <v>41443</v>
      </c>
      <c r="H903" s="270">
        <v>18</v>
      </c>
      <c r="I903" s="270">
        <v>6</v>
      </c>
      <c r="J903" s="271">
        <v>2013</v>
      </c>
      <c r="K903" s="97" t="s">
        <v>56</v>
      </c>
      <c r="L903" s="97" t="s">
        <v>2312</v>
      </c>
      <c r="M903" s="97" t="s">
        <v>796</v>
      </c>
      <c r="N903" s="186">
        <v>196151.4</v>
      </c>
      <c r="Q903" s="103">
        <v>10</v>
      </c>
      <c r="R903" s="135">
        <f>(((N903)-1)/10)/12</f>
        <v>1634.5866666666668</v>
      </c>
      <c r="S903" s="5">
        <v>49037.600000000006</v>
      </c>
      <c r="T903" s="313">
        <f>Z903*R903</f>
        <v>50672.186666666668</v>
      </c>
      <c r="U903" s="15">
        <f>T903-S903</f>
        <v>1634.5866666666625</v>
      </c>
      <c r="V903" s="280">
        <f>N903-T903</f>
        <v>145479.21333333332</v>
      </c>
      <c r="W903" s="103">
        <v>18058</v>
      </c>
      <c r="X903" s="103"/>
      <c r="Y903" s="135"/>
      <c r="Z903" s="114">
        <f>IF((DATEDIF(G903,Z$4,"m"))&gt;=120,120,(DATEDIF(G903,Z$4,"m")))</f>
        <v>31</v>
      </c>
      <c r="AA903" s="296" t="s">
        <v>2308</v>
      </c>
    </row>
    <row r="904" spans="1:27" x14ac:dyDescent="0.25">
      <c r="N904" s="109">
        <f>SUM(N902:N903)</f>
        <v>222996.4</v>
      </c>
      <c r="Q904" s="282"/>
      <c r="R904" s="113">
        <f>SUM(R902:R903)</f>
        <v>1858.2866666666669</v>
      </c>
      <c r="S904" s="113">
        <v>55748.600000000006</v>
      </c>
      <c r="T904" s="113">
        <f>SUM(T902:T903)</f>
        <v>57606.886666666673</v>
      </c>
      <c r="U904" s="113">
        <f>SUM(U902:U903)</f>
        <v>1858.2866666666623</v>
      </c>
      <c r="V904" s="113">
        <f>SUM(V902:V903)</f>
        <v>165389.51333333331</v>
      </c>
      <c r="Z904" s="114"/>
    </row>
    <row r="905" spans="1:27" x14ac:dyDescent="0.25">
      <c r="N905" s="297"/>
      <c r="Q905" s="282"/>
      <c r="R905" s="298"/>
      <c r="S905" s="298"/>
      <c r="T905" s="298"/>
      <c r="U905" s="298"/>
      <c r="V905" s="298"/>
      <c r="Z905" s="114"/>
    </row>
    <row r="906" spans="1:27" x14ac:dyDescent="0.25">
      <c r="B906" s="98" t="s">
        <v>2313</v>
      </c>
      <c r="D906" s="98" t="s">
        <v>2314</v>
      </c>
      <c r="F906" s="98" t="s">
        <v>794</v>
      </c>
      <c r="G906" s="132">
        <v>41456</v>
      </c>
      <c r="H906" s="270">
        <v>1</v>
      </c>
      <c r="I906" s="270">
        <v>7</v>
      </c>
      <c r="J906" s="271">
        <v>2013</v>
      </c>
      <c r="K906" s="97" t="s">
        <v>56</v>
      </c>
      <c r="L906" s="97" t="s">
        <v>2315</v>
      </c>
      <c r="M906" s="97" t="s">
        <v>796</v>
      </c>
      <c r="N906" s="186">
        <v>7499.9970000000003</v>
      </c>
      <c r="Q906" s="52">
        <v>3</v>
      </c>
      <c r="R906" s="30">
        <f>(((N906)-1)/3)/12</f>
        <v>208.30547222222222</v>
      </c>
      <c r="S906" s="5">
        <v>6040.8586944444442</v>
      </c>
      <c r="T906" s="313">
        <f>Z906*R906</f>
        <v>6249.1641666666665</v>
      </c>
      <c r="U906" s="15">
        <f>T906-S906</f>
        <v>208.30547222222231</v>
      </c>
      <c r="V906" s="280">
        <f>N906-T906</f>
        <v>1250.8328333333338</v>
      </c>
      <c r="W906" s="103">
        <v>18253</v>
      </c>
      <c r="X906" s="103"/>
      <c r="Y906" s="67"/>
      <c r="Z906" s="114">
        <f t="shared" ref="Z906:Z912" si="122">IF((DATEDIF(G906,Z$4,"m"))&gt;=120,120,(DATEDIF(G906,Z$4,"m")))</f>
        <v>30</v>
      </c>
      <c r="AA906" s="299" t="s">
        <v>2316</v>
      </c>
    </row>
    <row r="907" spans="1:27" x14ac:dyDescent="0.25">
      <c r="B907" s="98" t="s">
        <v>2313</v>
      </c>
      <c r="D907" s="98" t="s">
        <v>2314</v>
      </c>
      <c r="F907" s="98" t="s">
        <v>794</v>
      </c>
      <c r="G907" s="132">
        <v>41456</v>
      </c>
      <c r="H907" s="270">
        <v>1</v>
      </c>
      <c r="I907" s="270">
        <v>7</v>
      </c>
      <c r="J907" s="271">
        <v>2013</v>
      </c>
      <c r="K907" s="97" t="s">
        <v>56</v>
      </c>
      <c r="L907" s="97" t="s">
        <v>2315</v>
      </c>
      <c r="M907" s="97" t="s">
        <v>796</v>
      </c>
      <c r="N907" s="186">
        <v>7499.9970000000003</v>
      </c>
      <c r="Q907" s="52">
        <v>3</v>
      </c>
      <c r="R907" s="30">
        <f>(((N907)-1)/3)/12</f>
        <v>208.30547222222222</v>
      </c>
      <c r="S907" s="5">
        <v>6040.8586944444442</v>
      </c>
      <c r="T907" s="313">
        <f t="shared" ref="T907:T912" si="123">Z907*R907</f>
        <v>6249.1641666666665</v>
      </c>
      <c r="U907" s="15">
        <f t="shared" ref="U907:U912" si="124">T907-S907</f>
        <v>208.30547222222231</v>
      </c>
      <c r="V907" s="280">
        <f t="shared" ref="V907:V912" si="125">N907-T907</f>
        <v>1250.8328333333338</v>
      </c>
      <c r="W907" s="103">
        <v>18253</v>
      </c>
      <c r="Z907" s="114">
        <f t="shared" si="122"/>
        <v>30</v>
      </c>
      <c r="AA907" s="299" t="s">
        <v>2317</v>
      </c>
    </row>
    <row r="908" spans="1:27" x14ac:dyDescent="0.25">
      <c r="B908" s="98" t="s">
        <v>2313</v>
      </c>
      <c r="D908" s="98" t="s">
        <v>2314</v>
      </c>
      <c r="F908" s="98" t="s">
        <v>794</v>
      </c>
      <c r="G908" s="132">
        <v>41464</v>
      </c>
      <c r="H908" s="270">
        <v>9</v>
      </c>
      <c r="I908" s="270">
        <v>7</v>
      </c>
      <c r="J908" s="271">
        <v>2013</v>
      </c>
      <c r="K908" s="97" t="s">
        <v>56</v>
      </c>
      <c r="L908" s="97" t="s">
        <v>2318</v>
      </c>
      <c r="M908" s="97" t="s">
        <v>796</v>
      </c>
      <c r="N908" s="186">
        <v>7499.9970000000003</v>
      </c>
      <c r="Q908" s="52">
        <v>3</v>
      </c>
      <c r="R908" s="30">
        <f>(((N908)-1)/3)/12</f>
        <v>208.30547222222222</v>
      </c>
      <c r="S908" s="5">
        <v>6040.8586944444442</v>
      </c>
      <c r="T908" s="313">
        <f t="shared" si="123"/>
        <v>6249.1641666666665</v>
      </c>
      <c r="U908" s="15">
        <f t="shared" si="124"/>
        <v>208.30547222222231</v>
      </c>
      <c r="V908" s="280">
        <f t="shared" si="125"/>
        <v>1250.8328333333338</v>
      </c>
      <c r="W908" s="103">
        <v>18308</v>
      </c>
      <c r="Z908" s="114">
        <f t="shared" si="122"/>
        <v>30</v>
      </c>
      <c r="AA908" s="300" t="s">
        <v>2319</v>
      </c>
    </row>
    <row r="909" spans="1:27" x14ac:dyDescent="0.25">
      <c r="B909" s="98" t="s">
        <v>2313</v>
      </c>
      <c r="D909" s="98" t="s">
        <v>2314</v>
      </c>
      <c r="F909" s="98" t="s">
        <v>794</v>
      </c>
      <c r="G909" s="132">
        <v>41464</v>
      </c>
      <c r="H909" s="270">
        <v>9</v>
      </c>
      <c r="I909" s="270">
        <v>7</v>
      </c>
      <c r="J909" s="271">
        <v>2013</v>
      </c>
      <c r="K909" s="97" t="s">
        <v>56</v>
      </c>
      <c r="L909" s="97" t="s">
        <v>2318</v>
      </c>
      <c r="M909" s="97" t="s">
        <v>796</v>
      </c>
      <c r="N909" s="186">
        <v>7499.9970000000003</v>
      </c>
      <c r="Q909" s="52">
        <v>3</v>
      </c>
      <c r="R909" s="30">
        <f>(((N909)-1)/3)/12</f>
        <v>208.30547222222222</v>
      </c>
      <c r="S909" s="5">
        <v>6040.8586944444442</v>
      </c>
      <c r="T909" s="313">
        <f t="shared" si="123"/>
        <v>6249.1641666666665</v>
      </c>
      <c r="U909" s="15">
        <f t="shared" si="124"/>
        <v>208.30547222222231</v>
      </c>
      <c r="V909" s="280">
        <f t="shared" si="125"/>
        <v>1250.8328333333338</v>
      </c>
      <c r="W909" s="103">
        <v>18308</v>
      </c>
      <c r="Z909" s="114">
        <f t="shared" si="122"/>
        <v>30</v>
      </c>
      <c r="AA909" s="300" t="s">
        <v>2320</v>
      </c>
    </row>
    <row r="910" spans="1:27" x14ac:dyDescent="0.25">
      <c r="B910" s="98" t="s">
        <v>2321</v>
      </c>
      <c r="F910" s="98" t="s">
        <v>2322</v>
      </c>
      <c r="G910" s="132">
        <v>41479</v>
      </c>
      <c r="H910" s="270">
        <v>24</v>
      </c>
      <c r="I910" s="270">
        <v>7</v>
      </c>
      <c r="J910" s="271">
        <v>2013</v>
      </c>
      <c r="K910" s="97" t="s">
        <v>56</v>
      </c>
      <c r="L910" s="97" t="s">
        <v>2323</v>
      </c>
      <c r="M910" s="97" t="s">
        <v>796</v>
      </c>
      <c r="N910" s="186">
        <v>34667.22</v>
      </c>
      <c r="Q910" s="103">
        <v>10</v>
      </c>
      <c r="R910" s="135">
        <f>(((N910)-1)/10)/12</f>
        <v>288.88516666666669</v>
      </c>
      <c r="S910" s="5">
        <v>8377.6698333333334</v>
      </c>
      <c r="T910" s="313">
        <f t="shared" si="123"/>
        <v>8666.5550000000003</v>
      </c>
      <c r="U910" s="15">
        <f t="shared" si="124"/>
        <v>288.88516666666692</v>
      </c>
      <c r="V910" s="280">
        <f t="shared" si="125"/>
        <v>26000.665000000001</v>
      </c>
      <c r="W910" s="103">
        <v>18384</v>
      </c>
      <c r="X910" s="103"/>
      <c r="Y910" s="135"/>
      <c r="Z910" s="114">
        <f t="shared" si="122"/>
        <v>30</v>
      </c>
      <c r="AA910" s="296" t="s">
        <v>2308</v>
      </c>
    </row>
    <row r="911" spans="1:27" x14ac:dyDescent="0.25">
      <c r="B911" s="98" t="s">
        <v>2321</v>
      </c>
      <c r="F911" s="98" t="s">
        <v>2322</v>
      </c>
      <c r="G911" s="132">
        <v>41479</v>
      </c>
      <c r="H911" s="270">
        <v>24</v>
      </c>
      <c r="I911" s="270">
        <v>7</v>
      </c>
      <c r="J911" s="271">
        <v>2013</v>
      </c>
      <c r="K911" s="97" t="s">
        <v>56</v>
      </c>
      <c r="L911" s="97" t="s">
        <v>2323</v>
      </c>
      <c r="M911" s="97" t="s">
        <v>796</v>
      </c>
      <c r="N911" s="186">
        <v>34667.22</v>
      </c>
      <c r="Q911" s="103">
        <v>10</v>
      </c>
      <c r="R911" s="135">
        <f>(((N911)-1)/10)/12</f>
        <v>288.88516666666669</v>
      </c>
      <c r="S911" s="5">
        <v>8377.6698333333334</v>
      </c>
      <c r="T911" s="313">
        <f t="shared" si="123"/>
        <v>8666.5550000000003</v>
      </c>
      <c r="U911" s="15">
        <f t="shared" si="124"/>
        <v>288.88516666666692</v>
      </c>
      <c r="V911" s="280">
        <f t="shared" si="125"/>
        <v>26000.665000000001</v>
      </c>
      <c r="W911" s="103">
        <v>18384</v>
      </c>
      <c r="X911" s="103"/>
      <c r="Y911" s="135"/>
      <c r="Z911" s="114">
        <f t="shared" si="122"/>
        <v>30</v>
      </c>
      <c r="AA911" s="296" t="s">
        <v>2308</v>
      </c>
    </row>
    <row r="912" spans="1:27" x14ac:dyDescent="0.25">
      <c r="B912" s="98" t="s">
        <v>2309</v>
      </c>
      <c r="C912" s="98" t="s">
        <v>2310</v>
      </c>
      <c r="F912" s="98" t="s">
        <v>2311</v>
      </c>
      <c r="G912" s="132">
        <v>41486</v>
      </c>
      <c r="H912" s="270">
        <v>31</v>
      </c>
      <c r="I912" s="270">
        <v>7</v>
      </c>
      <c r="J912" s="271">
        <v>2013</v>
      </c>
      <c r="K912" s="97" t="s">
        <v>56</v>
      </c>
      <c r="L912" s="97" t="s">
        <v>2324</v>
      </c>
      <c r="M912" s="97" t="s">
        <v>796</v>
      </c>
      <c r="N912" s="186">
        <v>95580</v>
      </c>
      <c r="Q912" s="103">
        <v>10</v>
      </c>
      <c r="R912" s="135">
        <f>(((N912)-1)/10)/12</f>
        <v>796.49166666666667</v>
      </c>
      <c r="S912" s="5">
        <v>23098.258333333335</v>
      </c>
      <c r="T912" s="313">
        <f t="shared" si="123"/>
        <v>23894.75</v>
      </c>
      <c r="U912" s="15">
        <f t="shared" si="124"/>
        <v>796.49166666666497</v>
      </c>
      <c r="V912" s="280">
        <f t="shared" si="125"/>
        <v>71685.25</v>
      </c>
      <c r="W912" s="103">
        <v>18325</v>
      </c>
      <c r="X912" s="103"/>
      <c r="Y912" s="135"/>
      <c r="Z912" s="114">
        <f t="shared" si="122"/>
        <v>30</v>
      </c>
      <c r="AA912" s="296" t="s">
        <v>2308</v>
      </c>
    </row>
    <row r="913" spans="1:27" x14ac:dyDescent="0.25">
      <c r="N913" s="109">
        <f>SUM(N906:P912)</f>
        <v>194914.42800000001</v>
      </c>
      <c r="Q913" s="282"/>
      <c r="R913" s="109">
        <f>SUM(R906:R912)</f>
        <v>2207.4838888888889</v>
      </c>
      <c r="S913" s="109">
        <v>64017.032777777771</v>
      </c>
      <c r="T913" s="109">
        <f>SUM(T906:T912)</f>
        <v>66224.516666666663</v>
      </c>
      <c r="U913" s="109">
        <f>SUM(U906:U912)</f>
        <v>2207.483888888888</v>
      </c>
      <c r="V913" s="109">
        <f>SUM(V906:V912)</f>
        <v>128689.91133333334</v>
      </c>
      <c r="Z913" s="114"/>
    </row>
    <row r="914" spans="1:27" x14ac:dyDescent="0.25">
      <c r="N914" s="297"/>
      <c r="Q914" s="282"/>
      <c r="R914" s="298"/>
      <c r="S914" s="298"/>
      <c r="T914" s="298"/>
      <c r="U914" s="298"/>
      <c r="V914" s="298"/>
      <c r="Z914" s="114"/>
    </row>
    <row r="915" spans="1:27" x14ac:dyDescent="0.25">
      <c r="B915" s="98" t="s">
        <v>2325</v>
      </c>
      <c r="D915" s="98" t="s">
        <v>2326</v>
      </c>
      <c r="F915" s="98" t="s">
        <v>2327</v>
      </c>
      <c r="G915" s="132">
        <v>41519</v>
      </c>
      <c r="H915" s="270">
        <v>3</v>
      </c>
      <c r="I915" s="270">
        <v>9</v>
      </c>
      <c r="J915" s="271">
        <v>2013</v>
      </c>
      <c r="K915" s="97" t="s">
        <v>56</v>
      </c>
      <c r="L915" s="97" t="s">
        <v>2328</v>
      </c>
      <c r="M915" s="97" t="s">
        <v>796</v>
      </c>
      <c r="N915" s="186">
        <v>30906.05</v>
      </c>
      <c r="Q915" s="103">
        <v>10</v>
      </c>
      <c r="R915" s="135">
        <f>(((N915)-1)/10)/12</f>
        <v>257.54208333333332</v>
      </c>
      <c r="S915" s="5">
        <v>6953.6362499999996</v>
      </c>
      <c r="T915" s="313">
        <f>Z915*R915</f>
        <v>7211.1783333333333</v>
      </c>
      <c r="U915" s="15">
        <f>T915-S915</f>
        <v>257.54208333333372</v>
      </c>
      <c r="V915" s="135">
        <f>N915-T915</f>
        <v>23694.871666666666</v>
      </c>
      <c r="W915" s="103">
        <v>18517</v>
      </c>
      <c r="X915" s="103"/>
      <c r="Y915" s="135"/>
      <c r="Z915" s="114">
        <f>IF((DATEDIF(G915,Z$4,"m"))&gt;=120,120,(DATEDIF(G915,Z$4,"m")))</f>
        <v>28</v>
      </c>
      <c r="AA915" s="301" t="s">
        <v>2329</v>
      </c>
    </row>
    <row r="916" spans="1:27" x14ac:dyDescent="0.25">
      <c r="B916" s="98" t="s">
        <v>2330</v>
      </c>
      <c r="D916" s="98" t="s">
        <v>2326</v>
      </c>
      <c r="F916" s="98" t="s">
        <v>2327</v>
      </c>
      <c r="G916" s="132">
        <v>41519</v>
      </c>
      <c r="H916" s="270">
        <v>3</v>
      </c>
      <c r="I916" s="270">
        <v>9</v>
      </c>
      <c r="J916" s="271">
        <v>2013</v>
      </c>
      <c r="K916" s="97" t="s">
        <v>56</v>
      </c>
      <c r="L916" s="97" t="s">
        <v>2328</v>
      </c>
      <c r="M916" s="97" t="s">
        <v>796</v>
      </c>
      <c r="N916" s="186">
        <v>17271.02</v>
      </c>
      <c r="Q916" s="103">
        <v>10</v>
      </c>
      <c r="R916" s="135">
        <f>(((N916)-1)/10)/12</f>
        <v>143.91683333333333</v>
      </c>
      <c r="S916" s="5">
        <v>3885.7545</v>
      </c>
      <c r="T916" s="313">
        <f>Z916*R916</f>
        <v>4029.6713333333332</v>
      </c>
      <c r="U916" s="15">
        <f>T916-S916</f>
        <v>143.91683333333322</v>
      </c>
      <c r="V916" s="135">
        <f>N916-T916</f>
        <v>13241.348666666667</v>
      </c>
      <c r="W916" s="103">
        <v>18517</v>
      </c>
      <c r="X916" s="103"/>
      <c r="Y916" s="135"/>
      <c r="Z916" s="114">
        <f>IF((DATEDIF(G916,Z$4,"m"))&gt;=120,120,(DATEDIF(G916,Z$4,"m")))</f>
        <v>28</v>
      </c>
      <c r="AA916" s="301" t="s">
        <v>2331</v>
      </c>
    </row>
    <row r="917" spans="1:27" x14ac:dyDescent="0.25">
      <c r="B917" s="98" t="s">
        <v>2330</v>
      </c>
      <c r="D917" s="98" t="s">
        <v>2326</v>
      </c>
      <c r="F917" s="98" t="s">
        <v>2327</v>
      </c>
      <c r="G917" s="132">
        <v>41519</v>
      </c>
      <c r="H917" s="270">
        <v>3</v>
      </c>
      <c r="I917" s="270">
        <v>9</v>
      </c>
      <c r="J917" s="271">
        <v>2013</v>
      </c>
      <c r="K917" s="97" t="s">
        <v>56</v>
      </c>
      <c r="L917" s="97" t="s">
        <v>2328</v>
      </c>
      <c r="M917" s="97" t="s">
        <v>796</v>
      </c>
      <c r="N917" s="186">
        <v>17271.02</v>
      </c>
      <c r="Q917" s="103">
        <v>10</v>
      </c>
      <c r="R917" s="135">
        <f>(((N917)-1)/10)/12</f>
        <v>143.91683333333333</v>
      </c>
      <c r="S917" s="5">
        <v>3885.7545</v>
      </c>
      <c r="T917" s="313">
        <f>Z917*R917</f>
        <v>4029.6713333333332</v>
      </c>
      <c r="U917" s="15">
        <f>T917-S917</f>
        <v>143.91683333333322</v>
      </c>
      <c r="V917" s="135">
        <f>N917-T917</f>
        <v>13241.348666666667</v>
      </c>
      <c r="W917" s="103">
        <v>18517</v>
      </c>
      <c r="X917" s="103"/>
      <c r="Y917" s="135"/>
      <c r="Z917" s="114">
        <f>IF((DATEDIF(G917,Z$4,"m"))&gt;=120,120,(DATEDIF(G917,Z$4,"m")))</f>
        <v>28</v>
      </c>
      <c r="AA917" s="301" t="s">
        <v>2332</v>
      </c>
    </row>
    <row r="918" spans="1:27" x14ac:dyDescent="0.25">
      <c r="N918" s="109">
        <f>SUM(N915:N917)</f>
        <v>65448.09</v>
      </c>
      <c r="Q918" s="282"/>
      <c r="R918" s="113">
        <f>SUM(R915:R917)</f>
        <v>545.37574999999993</v>
      </c>
      <c r="S918" s="113">
        <v>14725.145249999998</v>
      </c>
      <c r="T918" s="113">
        <f>SUM(T915:T917)</f>
        <v>15270.521000000001</v>
      </c>
      <c r="U918" s="113">
        <f>SUM(U915:U917)</f>
        <v>545.37575000000015</v>
      </c>
      <c r="V918" s="113">
        <f>SUM(V915:V917)</f>
        <v>50177.568999999996</v>
      </c>
      <c r="Z918" s="114"/>
    </row>
    <row r="919" spans="1:27" x14ac:dyDescent="0.25">
      <c r="N919" s="297"/>
      <c r="Q919" s="282"/>
      <c r="R919" s="298"/>
      <c r="S919" s="298"/>
      <c r="T919" s="298"/>
      <c r="U919" s="298"/>
      <c r="V919" s="298"/>
      <c r="Z919" s="114"/>
    </row>
    <row r="920" spans="1:27" x14ac:dyDescent="0.25">
      <c r="B920" s="98" t="s">
        <v>2333</v>
      </c>
      <c r="D920" s="98" t="s">
        <v>2326</v>
      </c>
      <c r="F920" s="98" t="s">
        <v>2327</v>
      </c>
      <c r="G920" s="132">
        <v>41549</v>
      </c>
      <c r="H920" s="270">
        <v>2</v>
      </c>
      <c r="I920" s="270">
        <v>10</v>
      </c>
      <c r="J920" s="271">
        <v>2013</v>
      </c>
      <c r="K920" s="97" t="s">
        <v>56</v>
      </c>
      <c r="L920" s="97" t="s">
        <v>2334</v>
      </c>
      <c r="M920" s="97" t="s">
        <v>796</v>
      </c>
      <c r="N920" s="186">
        <v>10030</v>
      </c>
      <c r="Q920" s="103">
        <v>10</v>
      </c>
      <c r="R920" s="370">
        <f>(((N920)-1)/10)/12</f>
        <v>83.575000000000003</v>
      </c>
      <c r="S920" s="5">
        <v>2172.9500000000003</v>
      </c>
      <c r="T920" s="313">
        <f>Z920*R920</f>
        <v>2256.5250000000001</v>
      </c>
      <c r="U920" s="15">
        <f>T920-S920</f>
        <v>83.574999999999818</v>
      </c>
      <c r="V920" s="135">
        <f>N920-T920</f>
        <v>7773.4750000000004</v>
      </c>
      <c r="W920" s="103">
        <v>18561</v>
      </c>
      <c r="X920" s="103"/>
      <c r="Y920" s="135"/>
      <c r="Z920" s="114">
        <f>IF((DATEDIF(G920,Z$4,"m"))&gt;=120,120,(DATEDIF(G920,Z$4,"m")))</f>
        <v>27</v>
      </c>
      <c r="AA920" s="301" t="s">
        <v>2331</v>
      </c>
    </row>
    <row r="921" spans="1:27" x14ac:dyDescent="0.25">
      <c r="B921" s="98" t="s">
        <v>2335</v>
      </c>
      <c r="D921" s="98" t="s">
        <v>2326</v>
      </c>
      <c r="F921" s="98" t="s">
        <v>2327</v>
      </c>
      <c r="G921" s="132">
        <v>41549</v>
      </c>
      <c r="H921" s="270">
        <v>2</v>
      </c>
      <c r="I921" s="270">
        <v>10</v>
      </c>
      <c r="J921" s="271">
        <v>2013</v>
      </c>
      <c r="K921" s="97" t="s">
        <v>56</v>
      </c>
      <c r="L921" s="97" t="s">
        <v>2334</v>
      </c>
      <c r="M921" s="97" t="s">
        <v>796</v>
      </c>
      <c r="N921" s="186">
        <v>7670</v>
      </c>
      <c r="Q921" s="103">
        <v>10</v>
      </c>
      <c r="R921" s="135">
        <f>(((N921)-1)/10)/12</f>
        <v>63.908333333333331</v>
      </c>
      <c r="S921" s="5">
        <v>1661.6166666666666</v>
      </c>
      <c r="T921" s="313">
        <f>Z921*R921</f>
        <v>1725.5249999999999</v>
      </c>
      <c r="U921" s="15">
        <f>T921-S921</f>
        <v>63.908333333333303</v>
      </c>
      <c r="V921" s="135">
        <f>N921-T921</f>
        <v>5944.4750000000004</v>
      </c>
      <c r="W921" s="103">
        <v>18561</v>
      </c>
      <c r="X921" s="103"/>
      <c r="Y921" s="135"/>
      <c r="Z921" s="114">
        <f>IF((DATEDIF(G921,Z$4,"m"))&gt;=120,120,(DATEDIF(G921,Z$4,"m")))</f>
        <v>27</v>
      </c>
      <c r="AA921" s="301" t="s">
        <v>2332</v>
      </c>
    </row>
    <row r="922" spans="1:27" x14ac:dyDescent="0.25">
      <c r="N922" s="109">
        <f>SUM(N919:N921)</f>
        <v>17700</v>
      </c>
      <c r="Q922" s="282"/>
      <c r="R922" s="113">
        <f>SUM(R919:R921)</f>
        <v>147.48333333333335</v>
      </c>
      <c r="S922" s="113">
        <v>3834.5666666666666</v>
      </c>
      <c r="T922" s="113">
        <f>SUM(T919:T921)</f>
        <v>3982.05</v>
      </c>
      <c r="U922" s="113">
        <f>SUM(U919:U921)</f>
        <v>147.48333333333312</v>
      </c>
      <c r="V922" s="113">
        <f>SUM(V919:V921)</f>
        <v>13717.95</v>
      </c>
      <c r="Z922" s="114"/>
    </row>
    <row r="923" spans="1:27" x14ac:dyDescent="0.25">
      <c r="B923" s="111"/>
      <c r="C923" s="111"/>
      <c r="D923" s="111"/>
      <c r="E923" s="111"/>
      <c r="F923" s="111"/>
      <c r="G923" s="111"/>
      <c r="H923" s="111"/>
      <c r="I923" s="111"/>
      <c r="J923" s="111"/>
      <c r="K923" s="111"/>
      <c r="L923" s="111"/>
      <c r="M923" s="111"/>
      <c r="N923" s="111"/>
      <c r="O923" s="111"/>
      <c r="Q923" s="103"/>
      <c r="Z923" s="114"/>
    </row>
    <row r="924" spans="1:27" x14ac:dyDescent="0.25">
      <c r="A924" s="105" t="s">
        <v>801</v>
      </c>
      <c r="B924" s="111"/>
      <c r="N924" s="115">
        <f>+N896+N900+N904+N913+N918+N922</f>
        <v>578666.01800000004</v>
      </c>
      <c r="O924" s="115"/>
      <c r="P924" s="115"/>
      <c r="Q924" s="103"/>
      <c r="R924" s="115">
        <f>+R896+R900+R904+R913+R918+R922</f>
        <v>5405.3471388888893</v>
      </c>
      <c r="S924" s="115">
        <v>160444.57302777781</v>
      </c>
      <c r="T924" s="115">
        <f>+T896+T900+T904+T913+T918+T922</f>
        <v>165849.92016666668</v>
      </c>
      <c r="U924" s="115">
        <f>+U896+U900+U904+U913+U918+U922</f>
        <v>5405.3471388888829</v>
      </c>
      <c r="V924" s="115">
        <f>+V896+V900+V904+V913+V918+V922</f>
        <v>412816.09783333336</v>
      </c>
      <c r="Z924" s="114"/>
    </row>
    <row r="925" spans="1:27" x14ac:dyDescent="0.25">
      <c r="Q925" s="103"/>
      <c r="Z925" s="114"/>
    </row>
    <row r="926" spans="1:27" ht="16.5" thickBot="1" x14ac:dyDescent="0.3">
      <c r="A926" s="22" t="s">
        <v>802</v>
      </c>
      <c r="N926" s="294">
        <f>+N924+N892</f>
        <v>8523332.0841187127</v>
      </c>
      <c r="O926" s="294">
        <f>+O924+O808</f>
        <v>0</v>
      </c>
      <c r="P926" s="294">
        <f>+P924+P808</f>
        <v>0</v>
      </c>
      <c r="Q926" s="297"/>
      <c r="R926" s="294">
        <f>+R924+R892</f>
        <v>64013.68252321153</v>
      </c>
      <c r="S926" s="294">
        <v>6182533.4359015655</v>
      </c>
      <c r="T926" s="294">
        <f>+T924+T892</f>
        <v>6246547.118424776</v>
      </c>
      <c r="U926" s="294">
        <f>+U924+U892</f>
        <v>64013.682523211566</v>
      </c>
      <c r="V926" s="294">
        <f>+V924+V892</f>
        <v>2276784.9656939381</v>
      </c>
    </row>
    <row r="927" spans="1:27" ht="16.5" thickTop="1" x14ac:dyDescent="0.25">
      <c r="Q927" s="103"/>
      <c r="Z927" s="114"/>
    </row>
    <row r="928" spans="1:27" s="103" customFormat="1" ht="14.25" customHeight="1" x14ac:dyDescent="0.25">
      <c r="A928" s="97"/>
      <c r="B928" s="98" t="s">
        <v>2336</v>
      </c>
      <c r="C928" s="97"/>
      <c r="D928" s="97"/>
      <c r="E928" s="97"/>
      <c r="F928" s="97" t="s">
        <v>2337</v>
      </c>
      <c r="G928" s="132" t="str">
        <f>CONCATENATE(H928,"/",I928,"/",J928,)</f>
        <v>14/1/2014</v>
      </c>
      <c r="H928" s="133">
        <v>14</v>
      </c>
      <c r="I928" s="133">
        <v>1</v>
      </c>
      <c r="J928" s="134">
        <v>2014</v>
      </c>
      <c r="K928" s="97" t="s">
        <v>56</v>
      </c>
      <c r="L928" s="97" t="s">
        <v>2338</v>
      </c>
      <c r="M928" s="97" t="s">
        <v>796</v>
      </c>
      <c r="N928" s="102">
        <v>5338.32</v>
      </c>
      <c r="O928" s="102"/>
      <c r="Q928" s="103">
        <v>10</v>
      </c>
      <c r="R928" s="30">
        <f>(((N928)-1)/10)/12</f>
        <v>44.477666666666664</v>
      </c>
      <c r="S928" s="5">
        <v>1022.9863333333333</v>
      </c>
      <c r="T928" s="313">
        <f>Z928*R928</f>
        <v>1067.4639999999999</v>
      </c>
      <c r="U928" s="15">
        <f>T928-S928</f>
        <v>44.477666666666664</v>
      </c>
      <c r="V928" s="135">
        <f>N928-T928</f>
        <v>4270.8559999999998</v>
      </c>
      <c r="W928" s="104" t="s">
        <v>2339</v>
      </c>
      <c r="X928" s="136"/>
      <c r="Y928" s="135"/>
      <c r="Z928" s="114">
        <f>IF((DATEDIF(G928,Z$4,"m"))&gt;=120,120,(DATEDIF(G928,Z$4,"m")))</f>
        <v>24</v>
      </c>
    </row>
    <row r="929" spans="1:26" s="103" customFormat="1" ht="14.25" customHeight="1" x14ac:dyDescent="0.25">
      <c r="A929" s="97"/>
      <c r="B929" s="98" t="s">
        <v>2336</v>
      </c>
      <c r="C929" s="97"/>
      <c r="D929" s="97"/>
      <c r="E929" s="97"/>
      <c r="F929" s="97" t="s">
        <v>2337</v>
      </c>
      <c r="G929" s="132" t="str">
        <f>CONCATENATE(H929,"/",I929,"/",J929,)</f>
        <v>14/1/2014</v>
      </c>
      <c r="H929" s="133">
        <v>14</v>
      </c>
      <c r="I929" s="133">
        <v>1</v>
      </c>
      <c r="J929" s="134">
        <v>2014</v>
      </c>
      <c r="K929" s="97" t="s">
        <v>56</v>
      </c>
      <c r="L929" s="97" t="s">
        <v>2338</v>
      </c>
      <c r="M929" s="97" t="s">
        <v>796</v>
      </c>
      <c r="N929" s="102">
        <v>5338.32</v>
      </c>
      <c r="O929" s="102"/>
      <c r="Q929" s="103">
        <v>10</v>
      </c>
      <c r="R929" s="30">
        <f>(((N929)-1)/10)/12</f>
        <v>44.477666666666664</v>
      </c>
      <c r="S929" s="5">
        <v>1022.9863333333333</v>
      </c>
      <c r="T929" s="313">
        <f>Z929*R929</f>
        <v>1067.4639999999999</v>
      </c>
      <c r="U929" s="15">
        <f>T929-S929</f>
        <v>44.477666666666664</v>
      </c>
      <c r="V929" s="135">
        <f>N929-T929</f>
        <v>4270.8559999999998</v>
      </c>
      <c r="W929" s="104" t="s">
        <v>2339</v>
      </c>
      <c r="X929" s="136"/>
      <c r="Y929" s="135"/>
      <c r="Z929" s="114">
        <f>IF((DATEDIF(G929,Z$4,"m"))&gt;=120,120,(DATEDIF(G929,Z$4,"m")))</f>
        <v>24</v>
      </c>
    </row>
    <row r="930" spans="1:26" x14ac:dyDescent="0.25">
      <c r="B930" s="105" t="s">
        <v>2340</v>
      </c>
      <c r="N930" s="109">
        <f>SUM(N927:N929)</f>
        <v>10676.64</v>
      </c>
      <c r="Q930" s="112"/>
      <c r="R930" s="113">
        <f>SUM(R927:R929)</f>
        <v>88.955333333333328</v>
      </c>
      <c r="S930" s="113">
        <v>2045.9726666666666</v>
      </c>
      <c r="T930" s="113">
        <f>SUM(T927:T929)</f>
        <v>2134.9279999999999</v>
      </c>
      <c r="U930" s="113">
        <f>SUM(U927:U929)</f>
        <v>88.955333333333328</v>
      </c>
      <c r="V930" s="113">
        <f>SUM(V927:V929)</f>
        <v>8541.7119999999995</v>
      </c>
      <c r="Z930" s="114"/>
    </row>
    <row r="931" spans="1:26" x14ac:dyDescent="0.25">
      <c r="N931" s="297"/>
      <c r="Q931" s="112"/>
      <c r="R931" s="298"/>
      <c r="S931" s="298"/>
      <c r="T931" s="298"/>
      <c r="U931" s="298"/>
      <c r="V931" s="298"/>
      <c r="Z931" s="114"/>
    </row>
    <row r="932" spans="1:26" x14ac:dyDescent="0.25">
      <c r="N932" s="297"/>
      <c r="Q932" s="112"/>
      <c r="R932" s="298"/>
      <c r="S932" s="298"/>
      <c r="T932" s="298"/>
      <c r="U932" s="298"/>
      <c r="V932" s="298"/>
      <c r="Z932" s="114"/>
    </row>
    <row r="933" spans="1:26" s="103" customFormat="1" ht="14.25" customHeight="1" x14ac:dyDescent="0.25">
      <c r="A933" s="97"/>
      <c r="B933" s="98" t="s">
        <v>2341</v>
      </c>
      <c r="C933" s="97"/>
      <c r="D933" s="97"/>
      <c r="E933" s="97"/>
      <c r="F933" s="97" t="s">
        <v>2337</v>
      </c>
      <c r="G933" s="132">
        <v>41690</v>
      </c>
      <c r="H933" s="133">
        <v>20</v>
      </c>
      <c r="I933" s="133">
        <v>2</v>
      </c>
      <c r="J933" s="134">
        <v>2014</v>
      </c>
      <c r="K933" s="97" t="s">
        <v>56</v>
      </c>
      <c r="L933" s="97" t="s">
        <v>2342</v>
      </c>
      <c r="M933" s="97" t="s">
        <v>796</v>
      </c>
      <c r="N933" s="102">
        <v>20392.382399999999</v>
      </c>
      <c r="O933" s="102"/>
      <c r="Q933" s="103">
        <v>10</v>
      </c>
      <c r="R933" s="30">
        <f t="shared" ref="R933:R939" si="126">(((N933)-1)/10)/12</f>
        <v>169.92818666666665</v>
      </c>
      <c r="S933" s="5">
        <v>3738.4201066666665</v>
      </c>
      <c r="T933" s="313">
        <f t="shared" ref="T933:T939" si="127">Z933*R933</f>
        <v>3908.348293333333</v>
      </c>
      <c r="U933" s="15">
        <f t="shared" ref="U933:U939" si="128">T933-S933</f>
        <v>169.92818666666653</v>
      </c>
      <c r="V933" s="135">
        <f t="shared" ref="V933:V939" si="129">N933-T933</f>
        <v>16484.034106666666</v>
      </c>
      <c r="W933" s="104" t="s">
        <v>2343</v>
      </c>
      <c r="X933" s="136"/>
      <c r="Y933" s="135"/>
      <c r="Z933" s="114">
        <f t="shared" ref="Z933:Z939" si="130">IF((DATEDIF(G933,Z$4,"m"))&gt;=120,120,(DATEDIF(G933,Z$4,"m")))</f>
        <v>23</v>
      </c>
    </row>
    <row r="934" spans="1:26" s="103" customFormat="1" ht="14.25" customHeight="1" x14ac:dyDescent="0.25">
      <c r="A934" s="97"/>
      <c r="B934" s="98" t="s">
        <v>2341</v>
      </c>
      <c r="C934" s="97"/>
      <c r="D934" s="97"/>
      <c r="E934" s="97"/>
      <c r="F934" s="97" t="s">
        <v>2337</v>
      </c>
      <c r="G934" s="132">
        <v>41690</v>
      </c>
      <c r="H934" s="133">
        <v>20</v>
      </c>
      <c r="I934" s="133">
        <v>2</v>
      </c>
      <c r="J934" s="134">
        <v>2014</v>
      </c>
      <c r="K934" s="97" t="s">
        <v>56</v>
      </c>
      <c r="L934" s="97" t="s">
        <v>2342</v>
      </c>
      <c r="M934" s="97" t="s">
        <v>796</v>
      </c>
      <c r="N934" s="102">
        <v>20392.382399999999</v>
      </c>
      <c r="O934" s="102"/>
      <c r="Q934" s="103">
        <v>10</v>
      </c>
      <c r="R934" s="30">
        <f t="shared" si="126"/>
        <v>169.92818666666665</v>
      </c>
      <c r="S934" s="5">
        <v>3738.4201066666665</v>
      </c>
      <c r="T934" s="313">
        <f t="shared" si="127"/>
        <v>3908.348293333333</v>
      </c>
      <c r="U934" s="15">
        <f t="shared" si="128"/>
        <v>169.92818666666653</v>
      </c>
      <c r="V934" s="135">
        <f t="shared" si="129"/>
        <v>16484.034106666666</v>
      </c>
      <c r="W934" s="104" t="s">
        <v>2343</v>
      </c>
      <c r="X934" s="136"/>
      <c r="Y934" s="135"/>
      <c r="Z934" s="114">
        <f t="shared" si="130"/>
        <v>23</v>
      </c>
    </row>
    <row r="935" spans="1:26" s="103" customFormat="1" ht="14.25" customHeight="1" x14ac:dyDescent="0.25">
      <c r="A935" s="97"/>
      <c r="B935" s="98" t="s">
        <v>2341</v>
      </c>
      <c r="C935" s="97"/>
      <c r="D935" s="97"/>
      <c r="E935" s="97"/>
      <c r="F935" s="97" t="s">
        <v>2337</v>
      </c>
      <c r="G935" s="132">
        <v>41690</v>
      </c>
      <c r="H935" s="133">
        <v>20</v>
      </c>
      <c r="I935" s="133">
        <v>2</v>
      </c>
      <c r="J935" s="134">
        <v>2014</v>
      </c>
      <c r="K935" s="97" t="s">
        <v>56</v>
      </c>
      <c r="L935" s="97" t="s">
        <v>2342</v>
      </c>
      <c r="M935" s="97" t="s">
        <v>796</v>
      </c>
      <c r="N935" s="102">
        <v>20392.382399999999</v>
      </c>
      <c r="O935" s="102"/>
      <c r="Q935" s="103">
        <v>10</v>
      </c>
      <c r="R935" s="30">
        <f t="shared" si="126"/>
        <v>169.92818666666665</v>
      </c>
      <c r="S935" s="5">
        <v>3738.4201066666665</v>
      </c>
      <c r="T935" s="313">
        <f t="shared" si="127"/>
        <v>3908.348293333333</v>
      </c>
      <c r="U935" s="15">
        <f t="shared" si="128"/>
        <v>169.92818666666653</v>
      </c>
      <c r="V935" s="135">
        <f t="shared" si="129"/>
        <v>16484.034106666666</v>
      </c>
      <c r="W935" s="104" t="s">
        <v>2343</v>
      </c>
      <c r="X935" s="136"/>
      <c r="Y935" s="135"/>
      <c r="Z935" s="114">
        <f t="shared" si="130"/>
        <v>23</v>
      </c>
    </row>
    <row r="936" spans="1:26" s="103" customFormat="1" ht="14.25" customHeight="1" x14ac:dyDescent="0.25">
      <c r="A936" s="97"/>
      <c r="B936" s="98" t="s">
        <v>2344</v>
      </c>
      <c r="C936" s="97"/>
      <c r="D936" s="97"/>
      <c r="E936" s="97"/>
      <c r="F936" s="97" t="s">
        <v>2337</v>
      </c>
      <c r="G936" s="132">
        <v>41690</v>
      </c>
      <c r="H936" s="133">
        <v>20</v>
      </c>
      <c r="I936" s="133">
        <v>2</v>
      </c>
      <c r="J936" s="134">
        <v>2014</v>
      </c>
      <c r="K936" s="97" t="s">
        <v>56</v>
      </c>
      <c r="L936" s="97" t="s">
        <v>2342</v>
      </c>
      <c r="M936" s="97" t="s">
        <v>796</v>
      </c>
      <c r="N936" s="102">
        <v>4511.9070000000002</v>
      </c>
      <c r="O936" s="102"/>
      <c r="Q936" s="103">
        <v>10</v>
      </c>
      <c r="R936" s="30">
        <f t="shared" si="126"/>
        <v>37.590891666666671</v>
      </c>
      <c r="S936" s="5">
        <v>826.99961666666672</v>
      </c>
      <c r="T936" s="313">
        <f t="shared" si="127"/>
        <v>864.59050833333345</v>
      </c>
      <c r="U936" s="15">
        <f t="shared" si="128"/>
        <v>37.590891666666721</v>
      </c>
      <c r="V936" s="135">
        <f t="shared" si="129"/>
        <v>3647.3164916666665</v>
      </c>
      <c r="W936" s="104" t="s">
        <v>2343</v>
      </c>
      <c r="X936" s="136"/>
      <c r="Y936" s="135"/>
      <c r="Z936" s="114">
        <f t="shared" si="130"/>
        <v>23</v>
      </c>
    </row>
    <row r="937" spans="1:26" s="103" customFormat="1" ht="14.25" customHeight="1" x14ac:dyDescent="0.25">
      <c r="A937" s="97"/>
      <c r="B937" s="98" t="s">
        <v>2336</v>
      </c>
      <c r="C937" s="97"/>
      <c r="D937" s="97"/>
      <c r="E937" s="97"/>
      <c r="F937" s="97" t="s">
        <v>2337</v>
      </c>
      <c r="G937" s="132">
        <v>41690</v>
      </c>
      <c r="H937" s="133">
        <v>20</v>
      </c>
      <c r="I937" s="133">
        <v>2</v>
      </c>
      <c r="J937" s="134">
        <v>2014</v>
      </c>
      <c r="K937" s="97" t="s">
        <v>56</v>
      </c>
      <c r="L937" s="97" t="s">
        <v>2342</v>
      </c>
      <c r="M937" s="97" t="s">
        <v>796</v>
      </c>
      <c r="N937" s="102">
        <v>5338.32</v>
      </c>
      <c r="O937" s="102"/>
      <c r="Q937" s="103">
        <v>10</v>
      </c>
      <c r="R937" s="30">
        <f t="shared" si="126"/>
        <v>44.477666666666664</v>
      </c>
      <c r="S937" s="5">
        <v>978.50866666666661</v>
      </c>
      <c r="T937" s="313">
        <f t="shared" si="127"/>
        <v>1022.9863333333333</v>
      </c>
      <c r="U937" s="15">
        <f t="shared" si="128"/>
        <v>44.477666666666664</v>
      </c>
      <c r="V937" s="135">
        <f t="shared" si="129"/>
        <v>4315.3336666666664</v>
      </c>
      <c r="W937" s="104" t="s">
        <v>2343</v>
      </c>
      <c r="X937" s="136"/>
      <c r="Y937" s="135"/>
      <c r="Z937" s="114">
        <f t="shared" si="130"/>
        <v>23</v>
      </c>
    </row>
    <row r="938" spans="1:26" s="103" customFormat="1" ht="14.25" customHeight="1" x14ac:dyDescent="0.25">
      <c r="A938" s="97"/>
      <c r="B938" s="98" t="s">
        <v>2336</v>
      </c>
      <c r="C938" s="97"/>
      <c r="D938" s="97"/>
      <c r="E938" s="97"/>
      <c r="F938" s="97" t="s">
        <v>2337</v>
      </c>
      <c r="G938" s="132">
        <v>41690</v>
      </c>
      <c r="H938" s="133">
        <v>20</v>
      </c>
      <c r="I938" s="133">
        <v>2</v>
      </c>
      <c r="J938" s="134">
        <v>2014</v>
      </c>
      <c r="K938" s="97" t="s">
        <v>56</v>
      </c>
      <c r="L938" s="97" t="s">
        <v>2342</v>
      </c>
      <c r="M938" s="97" t="s">
        <v>796</v>
      </c>
      <c r="N938" s="102">
        <v>5338.32</v>
      </c>
      <c r="O938" s="102"/>
      <c r="Q938" s="103">
        <v>10</v>
      </c>
      <c r="R938" s="30">
        <f t="shared" si="126"/>
        <v>44.477666666666664</v>
      </c>
      <c r="S938" s="5">
        <v>978.50866666666661</v>
      </c>
      <c r="T938" s="313">
        <f t="shared" si="127"/>
        <v>1022.9863333333333</v>
      </c>
      <c r="U938" s="15">
        <f t="shared" si="128"/>
        <v>44.477666666666664</v>
      </c>
      <c r="V938" s="135">
        <f t="shared" si="129"/>
        <v>4315.3336666666664</v>
      </c>
      <c r="W938" s="104" t="s">
        <v>2343</v>
      </c>
      <c r="X938" s="136"/>
      <c r="Y938" s="135"/>
      <c r="Z938" s="114">
        <f t="shared" si="130"/>
        <v>23</v>
      </c>
    </row>
    <row r="939" spans="1:26" s="103" customFormat="1" ht="14.25" customHeight="1" x14ac:dyDescent="0.25">
      <c r="A939" s="97"/>
      <c r="B939" s="98" t="s">
        <v>2336</v>
      </c>
      <c r="C939" s="97"/>
      <c r="D939" s="97"/>
      <c r="E939" s="97"/>
      <c r="F939" s="97" t="s">
        <v>2337</v>
      </c>
      <c r="G939" s="132">
        <v>41690</v>
      </c>
      <c r="H939" s="133">
        <v>20</v>
      </c>
      <c r="I939" s="133">
        <v>2</v>
      </c>
      <c r="J939" s="134">
        <v>2014</v>
      </c>
      <c r="K939" s="97" t="s">
        <v>56</v>
      </c>
      <c r="L939" s="97" t="s">
        <v>2342</v>
      </c>
      <c r="M939" s="97" t="s">
        <v>796</v>
      </c>
      <c r="N939" s="102">
        <v>5338.32</v>
      </c>
      <c r="O939" s="102"/>
      <c r="Q939" s="103">
        <v>10</v>
      </c>
      <c r="R939" s="30">
        <f t="shared" si="126"/>
        <v>44.477666666666664</v>
      </c>
      <c r="S939" s="5">
        <v>978.50866666666661</v>
      </c>
      <c r="T939" s="313">
        <f t="shared" si="127"/>
        <v>1022.9863333333333</v>
      </c>
      <c r="U939" s="15">
        <f t="shared" si="128"/>
        <v>44.477666666666664</v>
      </c>
      <c r="V939" s="135">
        <f t="shared" si="129"/>
        <v>4315.3336666666664</v>
      </c>
      <c r="W939" s="104" t="s">
        <v>2343</v>
      </c>
      <c r="X939" s="136"/>
      <c r="Y939" s="135"/>
      <c r="Z939" s="114">
        <f t="shared" si="130"/>
        <v>23</v>
      </c>
    </row>
    <row r="940" spans="1:26" x14ac:dyDescent="0.25">
      <c r="B940" s="105" t="s">
        <v>2345</v>
      </c>
      <c r="N940" s="109">
        <f>SUM(N933:N939)</f>
        <v>81704.014200000005</v>
      </c>
      <c r="Q940" s="112"/>
      <c r="R940" s="113">
        <f>SUM(R932:R939)</f>
        <v>680.80845166666666</v>
      </c>
      <c r="S940" s="113">
        <v>14977.785936666665</v>
      </c>
      <c r="T940" s="113">
        <f>SUM(T932:T939)</f>
        <v>15658.594388333335</v>
      </c>
      <c r="U940" s="113">
        <f>SUM(U932:U939)</f>
        <v>680.80845166666631</v>
      </c>
      <c r="V940" s="113">
        <f>SUM(V932:V939)</f>
        <v>66045.419811666667</v>
      </c>
      <c r="Z940" s="114"/>
    </row>
    <row r="941" spans="1:26" x14ac:dyDescent="0.25">
      <c r="B941" s="105"/>
      <c r="N941" s="297"/>
      <c r="Q941" s="112"/>
      <c r="R941" s="298"/>
      <c r="S941" s="298"/>
      <c r="T941" s="298"/>
      <c r="U941" s="298"/>
      <c r="V941" s="298"/>
      <c r="Z941" s="114"/>
    </row>
    <row r="942" spans="1:26" x14ac:dyDescent="0.25">
      <c r="N942" s="297"/>
      <c r="Q942" s="112"/>
      <c r="R942" s="298"/>
      <c r="S942" s="298"/>
      <c r="T942" s="298"/>
      <c r="U942" s="298"/>
      <c r="V942" s="298"/>
      <c r="Z942" s="114"/>
    </row>
    <row r="943" spans="1:26" s="103" customFormat="1" ht="14.25" customHeight="1" x14ac:dyDescent="0.25">
      <c r="A943" s="97"/>
      <c r="B943" s="98" t="s">
        <v>2346</v>
      </c>
      <c r="C943" s="97"/>
      <c r="D943" s="97"/>
      <c r="E943" s="97"/>
      <c r="F943" s="97" t="s">
        <v>2337</v>
      </c>
      <c r="G943" s="132">
        <v>41834</v>
      </c>
      <c r="H943" s="133">
        <v>14</v>
      </c>
      <c r="I943" s="133">
        <v>7</v>
      </c>
      <c r="J943" s="134">
        <v>2014</v>
      </c>
      <c r="K943" s="97" t="s">
        <v>56</v>
      </c>
      <c r="L943" s="97" t="s">
        <v>2347</v>
      </c>
      <c r="M943" s="97" t="s">
        <v>796</v>
      </c>
      <c r="N943" s="102">
        <v>8202.5300000000007</v>
      </c>
      <c r="O943" s="102"/>
      <c r="Q943" s="103">
        <v>10</v>
      </c>
      <c r="R943" s="30">
        <f>(((N943)-1)/10)/12</f>
        <v>68.34608333333334</v>
      </c>
      <c r="S943" s="5">
        <v>1161.8834166666668</v>
      </c>
      <c r="T943" s="313">
        <f>Z943*R943</f>
        <v>1230.2295000000001</v>
      </c>
      <c r="U943" s="15">
        <f>T943-S943</f>
        <v>68.346083333333354</v>
      </c>
      <c r="V943" s="135">
        <f>N943-T943</f>
        <v>6972.3005000000003</v>
      </c>
      <c r="W943" s="104" t="s">
        <v>2348</v>
      </c>
      <c r="X943" s="136"/>
      <c r="Y943" s="135"/>
      <c r="Z943" s="114">
        <f>IF((DATEDIF(G943,Z$4,"m"))&gt;=120,120,(DATEDIF(G943,Z$4,"m")))</f>
        <v>18</v>
      </c>
    </row>
    <row r="944" spans="1:26" x14ac:dyDescent="0.25">
      <c r="B944" s="105" t="s">
        <v>2349</v>
      </c>
      <c r="N944" s="109">
        <f>SUM(N943)</f>
        <v>8202.5300000000007</v>
      </c>
      <c r="Q944" s="112"/>
      <c r="R944" s="113">
        <f>SUM(R943)</f>
        <v>68.34608333333334</v>
      </c>
      <c r="S944" s="113">
        <v>1161.8834166666668</v>
      </c>
      <c r="T944" s="113">
        <f>SUM(T943)</f>
        <v>1230.2295000000001</v>
      </c>
      <c r="U944" s="113">
        <f>SUM(U943)</f>
        <v>68.346083333333354</v>
      </c>
      <c r="V944" s="113">
        <f>SUM(V943)</f>
        <v>6972.3005000000003</v>
      </c>
      <c r="Z944" s="114"/>
    </row>
    <row r="945" spans="1:26" x14ac:dyDescent="0.25">
      <c r="N945" s="297"/>
      <c r="Q945" s="112"/>
      <c r="R945" s="298"/>
      <c r="S945" s="298"/>
      <c r="T945" s="298"/>
      <c r="U945" s="298"/>
      <c r="V945" s="298"/>
      <c r="Z945" s="114"/>
    </row>
    <row r="946" spans="1:26" s="103" customFormat="1" ht="14.25" customHeight="1" x14ac:dyDescent="0.25">
      <c r="A946" s="97"/>
      <c r="B946" s="98" t="s">
        <v>2350</v>
      </c>
      <c r="C946" s="97"/>
      <c r="D946" s="97"/>
      <c r="E946" s="97"/>
      <c r="F946" s="97" t="s">
        <v>2351</v>
      </c>
      <c r="G946" s="132">
        <v>41877</v>
      </c>
      <c r="H946" s="133">
        <v>26</v>
      </c>
      <c r="I946" s="133">
        <v>8</v>
      </c>
      <c r="J946" s="134">
        <v>2014</v>
      </c>
      <c r="K946" s="97" t="s">
        <v>56</v>
      </c>
      <c r="L946" s="97" t="s">
        <v>2352</v>
      </c>
      <c r="M946" s="97" t="s">
        <v>796</v>
      </c>
      <c r="N946" s="102">
        <v>18836.895</v>
      </c>
      <c r="O946" s="102"/>
      <c r="Q946" s="103">
        <v>10</v>
      </c>
      <c r="R946" s="30">
        <f>(((N946)-1)/10)/12</f>
        <v>156.96579166666666</v>
      </c>
      <c r="S946" s="5">
        <v>2511.4526666666666</v>
      </c>
      <c r="T946" s="313">
        <f>Z946*R946</f>
        <v>2668.4184583333331</v>
      </c>
      <c r="U946" s="15">
        <f>T946-S946</f>
        <v>156.96579166666652</v>
      </c>
      <c r="V946" s="135">
        <f>N946-T946</f>
        <v>16168.476541666667</v>
      </c>
      <c r="W946" s="104" t="s">
        <v>2353</v>
      </c>
      <c r="X946" s="136"/>
      <c r="Y946" s="135"/>
      <c r="Z946" s="114">
        <f>IF((DATEDIF(G946,Z$4,"m"))&gt;=120,120,(DATEDIF(G946,Z$4,"m")))</f>
        <v>17</v>
      </c>
    </row>
    <row r="947" spans="1:26" s="103" customFormat="1" ht="14.25" customHeight="1" x14ac:dyDescent="0.25">
      <c r="A947" s="97"/>
      <c r="B947" s="98" t="s">
        <v>2350</v>
      </c>
      <c r="C947" s="97"/>
      <c r="D947" s="97"/>
      <c r="E947" s="97"/>
      <c r="F947" s="97" t="s">
        <v>2351</v>
      </c>
      <c r="G947" s="132">
        <v>41877</v>
      </c>
      <c r="H947" s="133">
        <v>26</v>
      </c>
      <c r="I947" s="133">
        <v>8</v>
      </c>
      <c r="J947" s="134">
        <v>2014</v>
      </c>
      <c r="K947" s="97" t="s">
        <v>56</v>
      </c>
      <c r="L947" s="97" t="s">
        <v>2352</v>
      </c>
      <c r="M947" s="97" t="s">
        <v>796</v>
      </c>
      <c r="N947" s="102">
        <v>18836.895</v>
      </c>
      <c r="O947" s="102"/>
      <c r="Q947" s="103">
        <v>10</v>
      </c>
      <c r="R947" s="30">
        <f>(((N947)-1)/10)/12</f>
        <v>156.96579166666666</v>
      </c>
      <c r="S947" s="5">
        <v>2511.4526666666666</v>
      </c>
      <c r="T947" s="313">
        <f>Z947*R947</f>
        <v>2668.4184583333331</v>
      </c>
      <c r="U947" s="15">
        <f>T947-S947</f>
        <v>156.96579166666652</v>
      </c>
      <c r="V947" s="135">
        <f>N947-T947</f>
        <v>16168.476541666667</v>
      </c>
      <c r="W947" s="104" t="s">
        <v>2353</v>
      </c>
      <c r="X947" s="136"/>
      <c r="Y947" s="135"/>
      <c r="Z947" s="114">
        <f>IF((DATEDIF(G947,Z$4,"m"))&gt;=120,120,(DATEDIF(G947,Z$4,"m")))</f>
        <v>17</v>
      </c>
    </row>
    <row r="948" spans="1:26" x14ac:dyDescent="0.25">
      <c r="B948" s="105" t="s">
        <v>2354</v>
      </c>
      <c r="N948" s="109">
        <f>SUM(N946:N947)</f>
        <v>37673.79</v>
      </c>
      <c r="Q948" s="112"/>
      <c r="R948" s="113">
        <f>SUM(R946:R947)</f>
        <v>313.93158333333332</v>
      </c>
      <c r="S948" s="113">
        <v>5022.9053333333331</v>
      </c>
      <c r="T948" s="113">
        <f>SUM(T946:T947)</f>
        <v>5336.8369166666662</v>
      </c>
      <c r="U948" s="113">
        <f>SUM(U946:U947)</f>
        <v>313.93158333333304</v>
      </c>
      <c r="V948" s="113">
        <f>SUM(V946:V947)</f>
        <v>32336.953083333334</v>
      </c>
      <c r="Z948" s="114"/>
    </row>
    <row r="949" spans="1:26" x14ac:dyDescent="0.25">
      <c r="B949" s="105"/>
      <c r="N949" s="297"/>
      <c r="Q949" s="112"/>
      <c r="R949" s="298"/>
      <c r="S949" s="298"/>
      <c r="T949" s="298"/>
      <c r="U949" s="298"/>
      <c r="V949" s="298"/>
      <c r="Z949" s="114"/>
    </row>
    <row r="950" spans="1:26" s="103" customFormat="1" ht="14.25" customHeight="1" x14ac:dyDescent="0.25">
      <c r="A950" s="97"/>
      <c r="B950" s="98" t="s">
        <v>2355</v>
      </c>
      <c r="C950" s="97" t="s">
        <v>28</v>
      </c>
      <c r="D950" s="97" t="s">
        <v>811</v>
      </c>
      <c r="E950" s="97" t="s">
        <v>812</v>
      </c>
      <c r="F950" s="40" t="s">
        <v>2356</v>
      </c>
      <c r="G950" s="234">
        <v>41960</v>
      </c>
      <c r="H950" s="302">
        <v>17</v>
      </c>
      <c r="I950" s="302">
        <v>8</v>
      </c>
      <c r="J950" s="70">
        <v>2014</v>
      </c>
      <c r="K950" s="40" t="s">
        <v>56</v>
      </c>
      <c r="L950" s="40" t="s">
        <v>2357</v>
      </c>
      <c r="M950" s="97" t="s">
        <v>796</v>
      </c>
      <c r="N950" s="30">
        <v>530575.19999999995</v>
      </c>
      <c r="O950" s="102"/>
      <c r="Q950" s="103">
        <v>10</v>
      </c>
      <c r="R950" s="30">
        <f>(((N950)-1)/10)/12</f>
        <v>4421.4516666666668</v>
      </c>
      <c r="S950" s="5">
        <v>57478.871666666666</v>
      </c>
      <c r="T950" s="313">
        <f t="shared" ref="T950:T964" si="131">Z950*R950</f>
        <v>61900.323333333334</v>
      </c>
      <c r="U950" s="15">
        <f t="shared" ref="U950:U964" si="132">T950-S950</f>
        <v>4421.4516666666677</v>
      </c>
      <c r="V950" s="135">
        <f>N950-T950</f>
        <v>468674.87666666659</v>
      </c>
      <c r="W950" s="104" t="s">
        <v>2358</v>
      </c>
      <c r="X950" s="136"/>
      <c r="Y950" s="135"/>
      <c r="Z950" s="114">
        <f>IF((DATEDIF(G950,Z$4,"m"))&gt;=120,120,(DATEDIF(G950,Z$4,"m")))</f>
        <v>14</v>
      </c>
    </row>
    <row r="951" spans="1:26" s="103" customFormat="1" ht="14.25" customHeight="1" x14ac:dyDescent="0.25">
      <c r="A951" s="97"/>
      <c r="B951" s="98" t="s">
        <v>2359</v>
      </c>
      <c r="C951" s="97" t="s">
        <v>2360</v>
      </c>
      <c r="D951" s="97"/>
      <c r="E951" s="97" t="s">
        <v>2361</v>
      </c>
      <c r="F951" s="40" t="s">
        <v>2196</v>
      </c>
      <c r="G951" s="234">
        <v>41964</v>
      </c>
      <c r="H951" s="302">
        <v>21</v>
      </c>
      <c r="I951" s="302">
        <v>11</v>
      </c>
      <c r="J951" s="70">
        <v>2014</v>
      </c>
      <c r="K951" s="40" t="s">
        <v>56</v>
      </c>
      <c r="L951" s="40" t="s">
        <v>2362</v>
      </c>
      <c r="M951" s="97" t="s">
        <v>796</v>
      </c>
      <c r="N951" s="30">
        <v>18500</v>
      </c>
      <c r="O951" s="102"/>
      <c r="Q951" s="103">
        <v>10</v>
      </c>
      <c r="R951" s="30">
        <f>(((N951)-1)/10)/12</f>
        <v>154.15833333333333</v>
      </c>
      <c r="S951" s="5">
        <v>2004.0583333333334</v>
      </c>
      <c r="T951" s="313">
        <f t="shared" si="131"/>
        <v>2158.2166666666667</v>
      </c>
      <c r="U951" s="15">
        <f t="shared" si="132"/>
        <v>154.1583333333333</v>
      </c>
      <c r="V951" s="135">
        <f>N951-T951</f>
        <v>16341.783333333333</v>
      </c>
      <c r="W951" s="104" t="s">
        <v>2363</v>
      </c>
      <c r="X951" s="136"/>
      <c r="Y951" s="135"/>
      <c r="Z951" s="114">
        <f>IF((DATEDIF(G951,Z$4,"m"))&gt;=120,120,(DATEDIF(G951,Z$4,"m")))</f>
        <v>14</v>
      </c>
    </row>
    <row r="952" spans="1:26" s="103" customFormat="1" ht="14.25" customHeight="1" x14ac:dyDescent="0.25">
      <c r="A952" s="97"/>
      <c r="B952" s="98" t="s">
        <v>2364</v>
      </c>
      <c r="C952" s="97" t="s">
        <v>2310</v>
      </c>
      <c r="D952" s="97" t="s">
        <v>2365</v>
      </c>
      <c r="E952" s="97"/>
      <c r="F952" s="40" t="s">
        <v>2311</v>
      </c>
      <c r="G952" s="234">
        <v>41969</v>
      </c>
      <c r="H952" s="302">
        <v>26</v>
      </c>
      <c r="I952" s="302">
        <v>11</v>
      </c>
      <c r="J952" s="70">
        <v>2014</v>
      </c>
      <c r="K952" s="40" t="s">
        <v>56</v>
      </c>
      <c r="L952" s="40" t="s">
        <v>2366</v>
      </c>
      <c r="M952" s="97" t="s">
        <v>796</v>
      </c>
      <c r="N952" s="30">
        <v>190983</v>
      </c>
      <c r="O952" s="102"/>
      <c r="Q952" s="103">
        <v>10</v>
      </c>
      <c r="R952" s="30">
        <f>(((N952)-1)/10)/12</f>
        <v>1591.5166666666667</v>
      </c>
      <c r="S952" s="5">
        <v>20689.716666666667</v>
      </c>
      <c r="T952" s="313">
        <f t="shared" si="131"/>
        <v>22281.233333333334</v>
      </c>
      <c r="U952" s="15">
        <f t="shared" si="132"/>
        <v>1591.5166666666664</v>
      </c>
      <c r="V952" s="135">
        <f>N952-T952</f>
        <v>168701.76666666666</v>
      </c>
      <c r="W952" s="104" t="s">
        <v>2367</v>
      </c>
      <c r="X952" s="136"/>
      <c r="Y952" s="135"/>
      <c r="Z952" s="114">
        <f>IF((DATEDIF(G952,Z$4,"m"))&gt;=120,120,(DATEDIF(G952,Z$4,"m")))</f>
        <v>14</v>
      </c>
    </row>
    <row r="953" spans="1:26" s="103" customFormat="1" ht="14.25" customHeight="1" x14ac:dyDescent="0.25">
      <c r="A953" s="97"/>
      <c r="B953" s="98" t="s">
        <v>2364</v>
      </c>
      <c r="C953" s="97" t="s">
        <v>2310</v>
      </c>
      <c r="D953" s="97" t="s">
        <v>2365</v>
      </c>
      <c r="E953" s="97"/>
      <c r="F953" s="40" t="s">
        <v>2311</v>
      </c>
      <c r="G953" s="234">
        <v>41969</v>
      </c>
      <c r="H953" s="302">
        <v>26</v>
      </c>
      <c r="I953" s="302">
        <v>11</v>
      </c>
      <c r="J953" s="70">
        <v>2014</v>
      </c>
      <c r="K953" s="40" t="s">
        <v>56</v>
      </c>
      <c r="L953" s="40" t="s">
        <v>2366</v>
      </c>
      <c r="M953" s="97" t="s">
        <v>796</v>
      </c>
      <c r="N953" s="30">
        <v>190983</v>
      </c>
      <c r="O953" s="102"/>
      <c r="Q953" s="103">
        <v>10</v>
      </c>
      <c r="R953" s="30">
        <f t="shared" ref="R953:R964" si="133">(((N953)-1)/10)/12</f>
        <v>1591.5166666666667</v>
      </c>
      <c r="S953" s="5">
        <v>20689.716666666667</v>
      </c>
      <c r="T953" s="313">
        <f t="shared" si="131"/>
        <v>22281.233333333334</v>
      </c>
      <c r="U953" s="15">
        <f t="shared" si="132"/>
        <v>1591.5166666666664</v>
      </c>
      <c r="V953" s="135">
        <f t="shared" ref="V953:V964" si="134">N953-T953</f>
        <v>168701.76666666666</v>
      </c>
      <c r="W953" s="104" t="s">
        <v>2367</v>
      </c>
      <c r="X953" s="136"/>
      <c r="Y953" s="135"/>
      <c r="Z953" s="114">
        <f t="shared" ref="Z953:Z964" si="135">IF((DATEDIF(G953,Z$4,"m"))&gt;=120,120,(DATEDIF(G953,Z$4,"m")))</f>
        <v>14</v>
      </c>
    </row>
    <row r="954" spans="1:26" s="103" customFormat="1" ht="14.25" customHeight="1" x14ac:dyDescent="0.25">
      <c r="A954" s="97"/>
      <c r="B954" s="98" t="s">
        <v>2364</v>
      </c>
      <c r="C954" s="97" t="s">
        <v>2310</v>
      </c>
      <c r="D954" s="97" t="s">
        <v>2365</v>
      </c>
      <c r="E954" s="97"/>
      <c r="F954" s="40" t="s">
        <v>2311</v>
      </c>
      <c r="G954" s="234">
        <v>41969</v>
      </c>
      <c r="H954" s="302">
        <v>26</v>
      </c>
      <c r="I954" s="302">
        <v>11</v>
      </c>
      <c r="J954" s="70">
        <v>2014</v>
      </c>
      <c r="K954" s="40" t="s">
        <v>56</v>
      </c>
      <c r="L954" s="40" t="s">
        <v>2366</v>
      </c>
      <c r="M954" s="97" t="s">
        <v>796</v>
      </c>
      <c r="N954" s="30">
        <v>190983</v>
      </c>
      <c r="O954" s="102"/>
      <c r="Q954" s="103">
        <v>10</v>
      </c>
      <c r="R954" s="30">
        <f t="shared" si="133"/>
        <v>1591.5166666666667</v>
      </c>
      <c r="S954" s="5">
        <v>20689.716666666667</v>
      </c>
      <c r="T954" s="313">
        <f t="shared" si="131"/>
        <v>22281.233333333334</v>
      </c>
      <c r="U954" s="15">
        <f t="shared" si="132"/>
        <v>1591.5166666666664</v>
      </c>
      <c r="V954" s="135">
        <f t="shared" si="134"/>
        <v>168701.76666666666</v>
      </c>
      <c r="W954" s="104" t="s">
        <v>2367</v>
      </c>
      <c r="X954" s="136"/>
      <c r="Y954" s="135"/>
      <c r="Z954" s="114">
        <f t="shared" si="135"/>
        <v>14</v>
      </c>
    </row>
    <row r="955" spans="1:26" s="103" customFormat="1" ht="14.25" customHeight="1" x14ac:dyDescent="0.25">
      <c r="A955" s="97"/>
      <c r="B955" s="98" t="s">
        <v>2368</v>
      </c>
      <c r="C955" s="97" t="s">
        <v>2369</v>
      </c>
      <c r="D955" s="97" t="s">
        <v>2370</v>
      </c>
      <c r="E955" s="97"/>
      <c r="F955" s="40" t="s">
        <v>2311</v>
      </c>
      <c r="G955" s="234">
        <v>41969</v>
      </c>
      <c r="H955" s="302">
        <v>26</v>
      </c>
      <c r="I955" s="302">
        <v>11</v>
      </c>
      <c r="J955" s="70">
        <v>2014</v>
      </c>
      <c r="K955" s="40" t="s">
        <v>56</v>
      </c>
      <c r="L955" s="40" t="s">
        <v>2366</v>
      </c>
      <c r="M955" s="97" t="s">
        <v>796</v>
      </c>
      <c r="N955" s="30">
        <v>6821.52</v>
      </c>
      <c r="O955" s="102"/>
      <c r="Q955" s="103">
        <v>10</v>
      </c>
      <c r="R955" s="30">
        <f t="shared" si="133"/>
        <v>56.837666666666671</v>
      </c>
      <c r="S955" s="5">
        <v>738.8896666666667</v>
      </c>
      <c r="T955" s="313">
        <f t="shared" si="131"/>
        <v>795.72733333333338</v>
      </c>
      <c r="U955" s="15">
        <f t="shared" si="132"/>
        <v>56.837666666666678</v>
      </c>
      <c r="V955" s="135">
        <f t="shared" si="134"/>
        <v>6025.7926666666672</v>
      </c>
      <c r="W955" s="104" t="s">
        <v>2367</v>
      </c>
      <c r="X955" s="136"/>
      <c r="Y955" s="135"/>
      <c r="Z955" s="114">
        <f t="shared" si="135"/>
        <v>14</v>
      </c>
    </row>
    <row r="956" spans="1:26" s="103" customFormat="1" ht="14.25" customHeight="1" x14ac:dyDescent="0.25">
      <c r="A956" s="97"/>
      <c r="B956" s="98" t="s">
        <v>2368</v>
      </c>
      <c r="C956" s="97" t="s">
        <v>2369</v>
      </c>
      <c r="D956" s="97" t="s">
        <v>2370</v>
      </c>
      <c r="E956" s="97"/>
      <c r="F956" s="40" t="s">
        <v>2311</v>
      </c>
      <c r="G956" s="234">
        <v>41969</v>
      </c>
      <c r="H956" s="302">
        <v>26</v>
      </c>
      <c r="I956" s="302">
        <v>11</v>
      </c>
      <c r="J956" s="70">
        <v>2014</v>
      </c>
      <c r="K956" s="40" t="s">
        <v>56</v>
      </c>
      <c r="L956" s="40" t="s">
        <v>2366</v>
      </c>
      <c r="M956" s="97" t="s">
        <v>796</v>
      </c>
      <c r="N956" s="30">
        <v>6821.52</v>
      </c>
      <c r="O956" s="102"/>
      <c r="Q956" s="103">
        <v>10</v>
      </c>
      <c r="R956" s="30">
        <f t="shared" si="133"/>
        <v>56.837666666666671</v>
      </c>
      <c r="S956" s="5">
        <v>738.8896666666667</v>
      </c>
      <c r="T956" s="313">
        <f t="shared" si="131"/>
        <v>795.72733333333338</v>
      </c>
      <c r="U956" s="15">
        <f t="shared" si="132"/>
        <v>56.837666666666678</v>
      </c>
      <c r="V956" s="135">
        <f t="shared" si="134"/>
        <v>6025.7926666666672</v>
      </c>
      <c r="W956" s="104" t="s">
        <v>2367</v>
      </c>
      <c r="X956" s="136"/>
      <c r="Y956" s="135"/>
      <c r="Z956" s="114">
        <f t="shared" si="135"/>
        <v>14</v>
      </c>
    </row>
    <row r="957" spans="1:26" s="103" customFormat="1" ht="14.25" customHeight="1" x14ac:dyDescent="0.25">
      <c r="A957" s="97"/>
      <c r="B957" s="98" t="s">
        <v>2371</v>
      </c>
      <c r="C957" s="97" t="s">
        <v>2372</v>
      </c>
      <c r="D957" s="97"/>
      <c r="E957" s="97"/>
      <c r="F957" s="40" t="s">
        <v>2311</v>
      </c>
      <c r="G957" s="234">
        <v>41969</v>
      </c>
      <c r="H957" s="302">
        <v>26</v>
      </c>
      <c r="I957" s="302">
        <v>11</v>
      </c>
      <c r="J957" s="70">
        <v>2014</v>
      </c>
      <c r="K957" s="40" t="s">
        <v>56</v>
      </c>
      <c r="L957" s="40" t="s">
        <v>2366</v>
      </c>
      <c r="M957" s="97" t="s">
        <v>796</v>
      </c>
      <c r="N957" s="30">
        <v>8385.6200000000008</v>
      </c>
      <c r="O957" s="102"/>
      <c r="Q957" s="103">
        <v>10</v>
      </c>
      <c r="R957" s="30">
        <f t="shared" si="133"/>
        <v>69.871833333333342</v>
      </c>
      <c r="S957" s="5">
        <v>908.33383333333347</v>
      </c>
      <c r="T957" s="313">
        <f t="shared" si="131"/>
        <v>978.20566666666673</v>
      </c>
      <c r="U957" s="15">
        <f t="shared" si="132"/>
        <v>69.871833333333257</v>
      </c>
      <c r="V957" s="135">
        <f t="shared" si="134"/>
        <v>7407.4143333333341</v>
      </c>
      <c r="W957" s="104" t="s">
        <v>2367</v>
      </c>
      <c r="X957" s="136"/>
      <c r="Y957" s="135"/>
      <c r="Z957" s="114">
        <f t="shared" si="135"/>
        <v>14</v>
      </c>
    </row>
    <row r="958" spans="1:26" s="103" customFormat="1" ht="14.25" customHeight="1" x14ac:dyDescent="0.25">
      <c r="A958" s="97"/>
      <c r="B958" s="98" t="s">
        <v>2371</v>
      </c>
      <c r="C958" s="97" t="s">
        <v>2372</v>
      </c>
      <c r="D958" s="97"/>
      <c r="E958" s="97"/>
      <c r="F958" s="40" t="s">
        <v>2311</v>
      </c>
      <c r="G958" s="234">
        <v>41969</v>
      </c>
      <c r="H958" s="302">
        <v>26</v>
      </c>
      <c r="I958" s="302">
        <v>11</v>
      </c>
      <c r="J958" s="70">
        <v>2014</v>
      </c>
      <c r="K958" s="40" t="s">
        <v>56</v>
      </c>
      <c r="L958" s="40" t="s">
        <v>2366</v>
      </c>
      <c r="M958" s="97" t="s">
        <v>796</v>
      </c>
      <c r="N958" s="30">
        <v>8385.6200000000008</v>
      </c>
      <c r="O958" s="102"/>
      <c r="Q958" s="103">
        <v>10</v>
      </c>
      <c r="R958" s="30">
        <f t="shared" si="133"/>
        <v>69.871833333333342</v>
      </c>
      <c r="S958" s="5">
        <v>908.33383333333347</v>
      </c>
      <c r="T958" s="313">
        <f t="shared" si="131"/>
        <v>978.20566666666673</v>
      </c>
      <c r="U958" s="15">
        <f t="shared" si="132"/>
        <v>69.871833333333257</v>
      </c>
      <c r="V958" s="135">
        <f t="shared" si="134"/>
        <v>7407.4143333333341</v>
      </c>
      <c r="W958" s="104" t="s">
        <v>2367</v>
      </c>
      <c r="X958" s="136"/>
      <c r="Y958" s="135"/>
      <c r="Z958" s="114">
        <f t="shared" si="135"/>
        <v>14</v>
      </c>
    </row>
    <row r="959" spans="1:26" s="103" customFormat="1" ht="14.25" customHeight="1" x14ac:dyDescent="0.25">
      <c r="A959" s="97"/>
      <c r="B959" s="98" t="s">
        <v>2371</v>
      </c>
      <c r="C959" s="97" t="s">
        <v>2372</v>
      </c>
      <c r="D959" s="97"/>
      <c r="E959" s="97"/>
      <c r="F959" s="40" t="s">
        <v>2311</v>
      </c>
      <c r="G959" s="234">
        <v>41969</v>
      </c>
      <c r="H959" s="302">
        <v>26</v>
      </c>
      <c r="I959" s="302">
        <v>11</v>
      </c>
      <c r="J959" s="70">
        <v>2014</v>
      </c>
      <c r="K959" s="40" t="s">
        <v>56</v>
      </c>
      <c r="L959" s="40" t="s">
        <v>2366</v>
      </c>
      <c r="M959" s="97" t="s">
        <v>796</v>
      </c>
      <c r="N959" s="30">
        <v>8385.6200000000008</v>
      </c>
      <c r="O959" s="102"/>
      <c r="Q959" s="103">
        <v>10</v>
      </c>
      <c r="R959" s="30">
        <f t="shared" si="133"/>
        <v>69.871833333333342</v>
      </c>
      <c r="S959" s="5">
        <v>908.33383333333347</v>
      </c>
      <c r="T959" s="313">
        <f t="shared" si="131"/>
        <v>978.20566666666673</v>
      </c>
      <c r="U959" s="15">
        <f t="shared" si="132"/>
        <v>69.871833333333257</v>
      </c>
      <c r="V959" s="135">
        <f t="shared" si="134"/>
        <v>7407.4143333333341</v>
      </c>
      <c r="W959" s="104" t="s">
        <v>2367</v>
      </c>
      <c r="X959" s="136"/>
      <c r="Y959" s="135"/>
      <c r="Z959" s="114">
        <f t="shared" si="135"/>
        <v>14</v>
      </c>
    </row>
    <row r="960" spans="1:26" s="103" customFormat="1" ht="14.25" customHeight="1" x14ac:dyDescent="0.25">
      <c r="A960" s="97"/>
      <c r="B960" s="98" t="s">
        <v>2371</v>
      </c>
      <c r="C960" s="97" t="s">
        <v>2372</v>
      </c>
      <c r="D960" s="97"/>
      <c r="E960" s="97"/>
      <c r="F960" s="40" t="s">
        <v>2311</v>
      </c>
      <c r="G960" s="234">
        <v>41969</v>
      </c>
      <c r="H960" s="302">
        <v>26</v>
      </c>
      <c r="I960" s="302">
        <v>11</v>
      </c>
      <c r="J960" s="70">
        <v>2014</v>
      </c>
      <c r="K960" s="40" t="s">
        <v>56</v>
      </c>
      <c r="L960" s="40" t="s">
        <v>2366</v>
      </c>
      <c r="M960" s="97" t="s">
        <v>796</v>
      </c>
      <c r="N960" s="30">
        <v>8385.6200000000008</v>
      </c>
      <c r="O960" s="102"/>
      <c r="Q960" s="103">
        <v>10</v>
      </c>
      <c r="R960" s="30">
        <f t="shared" si="133"/>
        <v>69.871833333333342</v>
      </c>
      <c r="S960" s="5">
        <v>908.33383333333347</v>
      </c>
      <c r="T960" s="313">
        <f t="shared" si="131"/>
        <v>978.20566666666673</v>
      </c>
      <c r="U960" s="15">
        <f t="shared" si="132"/>
        <v>69.871833333333257</v>
      </c>
      <c r="V960" s="135">
        <f t="shared" si="134"/>
        <v>7407.4143333333341</v>
      </c>
      <c r="W960" s="104" t="s">
        <v>2367</v>
      </c>
      <c r="X960" s="136"/>
      <c r="Y960" s="135"/>
      <c r="Z960" s="114">
        <f t="shared" si="135"/>
        <v>14</v>
      </c>
    </row>
    <row r="961" spans="1:26" s="103" customFormat="1" ht="14.25" customHeight="1" x14ac:dyDescent="0.25">
      <c r="A961" s="97"/>
      <c r="B961" s="98" t="s">
        <v>2371</v>
      </c>
      <c r="C961" s="97" t="s">
        <v>2372</v>
      </c>
      <c r="D961" s="97"/>
      <c r="E961" s="97"/>
      <c r="F961" s="40" t="s">
        <v>2311</v>
      </c>
      <c r="G961" s="234">
        <v>41969</v>
      </c>
      <c r="H961" s="302">
        <v>26</v>
      </c>
      <c r="I961" s="302">
        <v>11</v>
      </c>
      <c r="J961" s="70">
        <v>2014</v>
      </c>
      <c r="K961" s="40" t="s">
        <v>56</v>
      </c>
      <c r="L961" s="40" t="s">
        <v>2366</v>
      </c>
      <c r="M961" s="97" t="s">
        <v>796</v>
      </c>
      <c r="N961" s="30">
        <v>8385.6200000000008</v>
      </c>
      <c r="O961" s="102"/>
      <c r="Q961" s="103">
        <v>10</v>
      </c>
      <c r="R961" s="30">
        <f t="shared" si="133"/>
        <v>69.871833333333342</v>
      </c>
      <c r="S961" s="5">
        <v>908.33383333333347</v>
      </c>
      <c r="T961" s="313">
        <f t="shared" si="131"/>
        <v>978.20566666666673</v>
      </c>
      <c r="U961" s="15">
        <f t="shared" si="132"/>
        <v>69.871833333333257</v>
      </c>
      <c r="V961" s="135">
        <f t="shared" si="134"/>
        <v>7407.4143333333341</v>
      </c>
      <c r="W961" s="104" t="s">
        <v>2367</v>
      </c>
      <c r="X961" s="136"/>
      <c r="Y961" s="135"/>
      <c r="Z961" s="114">
        <f t="shared" si="135"/>
        <v>14</v>
      </c>
    </row>
    <row r="962" spans="1:26" s="103" customFormat="1" ht="14.25" customHeight="1" x14ac:dyDescent="0.25">
      <c r="A962" s="97"/>
      <c r="B962" s="98" t="s">
        <v>2371</v>
      </c>
      <c r="C962" s="97" t="s">
        <v>2372</v>
      </c>
      <c r="D962" s="97"/>
      <c r="E962" s="97"/>
      <c r="F962" s="40" t="s">
        <v>2311</v>
      </c>
      <c r="G962" s="234">
        <v>41969</v>
      </c>
      <c r="H962" s="302">
        <v>26</v>
      </c>
      <c r="I962" s="302">
        <v>11</v>
      </c>
      <c r="J962" s="70">
        <v>2014</v>
      </c>
      <c r="K962" s="40" t="s">
        <v>56</v>
      </c>
      <c r="L962" s="40" t="s">
        <v>2366</v>
      </c>
      <c r="M962" s="97" t="s">
        <v>796</v>
      </c>
      <c r="N962" s="30">
        <v>8385.6200000000008</v>
      </c>
      <c r="O962" s="102"/>
      <c r="Q962" s="103">
        <v>10</v>
      </c>
      <c r="R962" s="30">
        <f t="shared" si="133"/>
        <v>69.871833333333342</v>
      </c>
      <c r="S962" s="5">
        <v>908.33383333333347</v>
      </c>
      <c r="T962" s="313">
        <f t="shared" si="131"/>
        <v>978.20566666666673</v>
      </c>
      <c r="U962" s="15">
        <f t="shared" si="132"/>
        <v>69.871833333333257</v>
      </c>
      <c r="V962" s="135">
        <f t="shared" si="134"/>
        <v>7407.4143333333341</v>
      </c>
      <c r="W962" s="104" t="s">
        <v>2367</v>
      </c>
      <c r="X962" s="136"/>
      <c r="Y962" s="135"/>
      <c r="Z962" s="114">
        <f t="shared" si="135"/>
        <v>14</v>
      </c>
    </row>
    <row r="963" spans="1:26" s="103" customFormat="1" ht="14.25" customHeight="1" x14ac:dyDescent="0.25">
      <c r="A963" s="97"/>
      <c r="B963" s="98" t="s">
        <v>2371</v>
      </c>
      <c r="C963" s="97" t="s">
        <v>2372</v>
      </c>
      <c r="D963" s="97"/>
      <c r="E963" s="97"/>
      <c r="F963" s="40" t="s">
        <v>2311</v>
      </c>
      <c r="G963" s="234">
        <v>41969</v>
      </c>
      <c r="H963" s="302">
        <v>26</v>
      </c>
      <c r="I963" s="302">
        <v>11</v>
      </c>
      <c r="J963" s="70">
        <v>2014</v>
      </c>
      <c r="K963" s="40" t="s">
        <v>56</v>
      </c>
      <c r="L963" s="40" t="s">
        <v>2366</v>
      </c>
      <c r="M963" s="97" t="s">
        <v>796</v>
      </c>
      <c r="N963" s="30">
        <v>8385.6200000000008</v>
      </c>
      <c r="O963" s="102"/>
      <c r="Q963" s="103">
        <v>10</v>
      </c>
      <c r="R963" s="30">
        <f t="shared" si="133"/>
        <v>69.871833333333342</v>
      </c>
      <c r="S963" s="5">
        <v>908.33383333333347</v>
      </c>
      <c r="T963" s="313">
        <f t="shared" si="131"/>
        <v>978.20566666666673</v>
      </c>
      <c r="U963" s="15">
        <f t="shared" si="132"/>
        <v>69.871833333333257</v>
      </c>
      <c r="V963" s="135">
        <f t="shared" si="134"/>
        <v>7407.4143333333341</v>
      </c>
      <c r="W963" s="104" t="s">
        <v>2367</v>
      </c>
      <c r="X963" s="136"/>
      <c r="Y963" s="135"/>
      <c r="Z963" s="114">
        <f t="shared" si="135"/>
        <v>14</v>
      </c>
    </row>
    <row r="964" spans="1:26" s="103" customFormat="1" ht="14.25" customHeight="1" x14ac:dyDescent="0.25">
      <c r="A964" s="97"/>
      <c r="B964" s="98" t="s">
        <v>2371</v>
      </c>
      <c r="C964" s="97" t="s">
        <v>2372</v>
      </c>
      <c r="D964" s="97"/>
      <c r="E964" s="97"/>
      <c r="F964" s="40" t="s">
        <v>2311</v>
      </c>
      <c r="G964" s="234">
        <v>41969</v>
      </c>
      <c r="H964" s="302">
        <v>26</v>
      </c>
      <c r="I964" s="302">
        <v>11</v>
      </c>
      <c r="J964" s="70">
        <v>2014</v>
      </c>
      <c r="K964" s="40" t="s">
        <v>56</v>
      </c>
      <c r="L964" s="40" t="s">
        <v>2366</v>
      </c>
      <c r="M964" s="97" t="s">
        <v>796</v>
      </c>
      <c r="N964" s="30">
        <v>8385.6200000000008</v>
      </c>
      <c r="O964" s="102"/>
      <c r="Q964" s="103">
        <v>10</v>
      </c>
      <c r="R964" s="30">
        <f t="shared" si="133"/>
        <v>69.871833333333342</v>
      </c>
      <c r="S964" s="5">
        <v>908.33383333333347</v>
      </c>
      <c r="T964" s="313">
        <f t="shared" si="131"/>
        <v>978.20566666666673</v>
      </c>
      <c r="U964" s="15">
        <f t="shared" si="132"/>
        <v>69.871833333333257</v>
      </c>
      <c r="V964" s="135">
        <f t="shared" si="134"/>
        <v>7407.4143333333341</v>
      </c>
      <c r="W964" s="104" t="s">
        <v>2367</v>
      </c>
      <c r="X964" s="136"/>
      <c r="Y964" s="135"/>
      <c r="Z964" s="114">
        <f t="shared" si="135"/>
        <v>14</v>
      </c>
    </row>
    <row r="965" spans="1:26" x14ac:dyDescent="0.25">
      <c r="B965" s="105" t="s">
        <v>814</v>
      </c>
      <c r="N965" s="109">
        <f>SUM(N950:N964)</f>
        <v>1202752.2000000009</v>
      </c>
      <c r="Q965" s="112"/>
      <c r="R965" s="109">
        <f>SUM(R950:R964)</f>
        <v>10022.809999999994</v>
      </c>
      <c r="S965" s="109">
        <v>130296.53000000006</v>
      </c>
      <c r="T965" s="109">
        <f>SUM(T950:T964)</f>
        <v>140319.34000000008</v>
      </c>
      <c r="U965" s="109">
        <f>SUM(U950:U964)</f>
        <v>10022.809999999994</v>
      </c>
      <c r="V965" s="109">
        <f>SUM(V950:V964)</f>
        <v>1062432.8599999999</v>
      </c>
      <c r="Z965" s="114"/>
    </row>
    <row r="966" spans="1:26" x14ac:dyDescent="0.25">
      <c r="B966" s="105"/>
      <c r="N966" s="297"/>
      <c r="Q966" s="112"/>
      <c r="R966" s="298"/>
      <c r="S966" s="298"/>
      <c r="T966" s="298"/>
      <c r="U966" s="298"/>
      <c r="V966" s="298"/>
      <c r="Z966" s="114"/>
    </row>
    <row r="967" spans="1:26" x14ac:dyDescent="0.25">
      <c r="A967" s="105" t="s">
        <v>815</v>
      </c>
      <c r="B967" s="111"/>
      <c r="N967" s="115">
        <f>+N930+N940+N944+N948+N965</f>
        <v>1341009.1742000009</v>
      </c>
      <c r="O967" s="422"/>
      <c r="P967" s="422"/>
      <c r="Q967" s="103"/>
      <c r="R967" s="115">
        <f>+R930+R940+R944+R948+R965</f>
        <v>11174.85145166666</v>
      </c>
      <c r="S967" s="115">
        <v>153505.07735333338</v>
      </c>
      <c r="T967" s="115">
        <f>+T930+T940+T944+T948+T965</f>
        <v>164679.92880500009</v>
      </c>
      <c r="U967" s="115">
        <f>+U930+U940+U944+U948+U965</f>
        <v>11174.85145166666</v>
      </c>
      <c r="V967" s="115">
        <f>+V930+V940+V944+V948+V965</f>
        <v>1176329.2453949999</v>
      </c>
      <c r="Z967" s="114"/>
    </row>
    <row r="968" spans="1:26" x14ac:dyDescent="0.25">
      <c r="A968" s="105"/>
      <c r="B968" s="111"/>
      <c r="N968" s="422"/>
      <c r="O968" s="422"/>
      <c r="P968" s="422"/>
      <c r="Q968" s="103"/>
      <c r="R968" s="422"/>
      <c r="S968" s="422"/>
      <c r="T968" s="422"/>
      <c r="U968" s="422"/>
      <c r="V968" s="422"/>
      <c r="Z968" s="114"/>
    </row>
    <row r="969" spans="1:26" ht="16.5" thickBot="1" x14ac:dyDescent="0.3">
      <c r="A969" s="22" t="s">
        <v>816</v>
      </c>
      <c r="N969" s="294">
        <f>+N967+N926</f>
        <v>9864341.2583187129</v>
      </c>
      <c r="O969" s="294"/>
      <c r="P969" s="294"/>
      <c r="Q969" s="297"/>
      <c r="R969" s="294">
        <f>+R967+R926</f>
        <v>75188.533974878184</v>
      </c>
      <c r="S969" s="294">
        <v>6336038.5132548986</v>
      </c>
      <c r="T969" s="294">
        <f t="shared" ref="S969:U969" si="136">+T967+T926</f>
        <v>6411227.0472297762</v>
      </c>
      <c r="U969" s="294">
        <f t="shared" si="136"/>
        <v>75188.533974878228</v>
      </c>
      <c r="V969" s="294">
        <f>+V967+V926</f>
        <v>3453114.2110889377</v>
      </c>
    </row>
    <row r="970" spans="1:26" ht="16.5" thickTop="1" x14ac:dyDescent="0.25">
      <c r="A970" s="105"/>
      <c r="B970" s="111"/>
      <c r="N970" s="422"/>
      <c r="O970" s="422"/>
      <c r="P970" s="422"/>
      <c r="Q970" s="103"/>
      <c r="R970" s="422"/>
      <c r="S970" s="422"/>
      <c r="T970" s="422"/>
      <c r="U970" s="422"/>
      <c r="V970" s="422"/>
      <c r="Z970" s="114"/>
    </row>
    <row r="971" spans="1:26" s="103" customFormat="1" ht="14.25" customHeight="1" x14ac:dyDescent="0.25">
      <c r="A971" s="97"/>
      <c r="B971" s="98" t="s">
        <v>2810</v>
      </c>
      <c r="C971" s="97" t="s">
        <v>2811</v>
      </c>
      <c r="D971" s="97"/>
      <c r="E971" s="97"/>
      <c r="F971" s="97" t="s">
        <v>2337</v>
      </c>
      <c r="G971" s="234">
        <v>42073</v>
      </c>
      <c r="H971" s="302">
        <v>10</v>
      </c>
      <c r="I971" s="302">
        <v>3</v>
      </c>
      <c r="J971" s="70">
        <v>2015</v>
      </c>
      <c r="K971" s="40" t="s">
        <v>56</v>
      </c>
      <c r="L971" s="40" t="s">
        <v>2812</v>
      </c>
      <c r="M971" s="97" t="s">
        <v>796</v>
      </c>
      <c r="N971" s="30">
        <v>25613.67</v>
      </c>
      <c r="O971" s="102"/>
      <c r="Q971" s="103">
        <v>10</v>
      </c>
      <c r="R971" s="30">
        <f t="shared" ref="R971:R973" si="137">(((N971)-1)/10)/12</f>
        <v>213.43891666666664</v>
      </c>
      <c r="S971" s="5">
        <v>1920.9502499999999</v>
      </c>
      <c r="T971" s="313">
        <f t="shared" ref="T971:T973" si="138">Z971*R971</f>
        <v>2134.3891666666664</v>
      </c>
      <c r="U971" s="15">
        <f t="shared" ref="U971:U973" si="139">T971-S971</f>
        <v>213.4389166666665</v>
      </c>
      <c r="V971" s="135">
        <f t="shared" ref="V971:V972" si="140">N971-T971</f>
        <v>23479.280833333331</v>
      </c>
      <c r="W971" s="104" t="s">
        <v>2367</v>
      </c>
      <c r="X971" s="136"/>
      <c r="Y971" s="135"/>
      <c r="Z971" s="114">
        <f t="shared" ref="Z971:Z973" si="141">IF((DATEDIF(G971,Z$4,"m"))&gt;=120,120,(DATEDIF(G971,Z$4,"m")))</f>
        <v>10</v>
      </c>
    </row>
    <row r="972" spans="1:26" s="103" customFormat="1" ht="14.25" customHeight="1" x14ac:dyDescent="0.25">
      <c r="A972" s="97"/>
      <c r="B972" s="98" t="s">
        <v>2810</v>
      </c>
      <c r="C972" s="97" t="s">
        <v>2811</v>
      </c>
      <c r="D972" s="97"/>
      <c r="E972" s="97"/>
      <c r="F972" s="97" t="s">
        <v>2337</v>
      </c>
      <c r="G972" s="234">
        <v>42073</v>
      </c>
      <c r="H972" s="302">
        <v>10</v>
      </c>
      <c r="I972" s="302">
        <v>3</v>
      </c>
      <c r="J972" s="70">
        <v>2015</v>
      </c>
      <c r="K972" s="40" t="s">
        <v>56</v>
      </c>
      <c r="L972" s="40" t="s">
        <v>2812</v>
      </c>
      <c r="M972" s="97" t="s">
        <v>796</v>
      </c>
      <c r="N972" s="30">
        <v>25613.67</v>
      </c>
      <c r="O972" s="102"/>
      <c r="Q972" s="103">
        <v>10</v>
      </c>
      <c r="R972" s="30">
        <f t="shared" si="137"/>
        <v>213.43891666666664</v>
      </c>
      <c r="S972" s="5">
        <v>1920.9502499999999</v>
      </c>
      <c r="T972" s="313">
        <f t="shared" si="138"/>
        <v>2134.3891666666664</v>
      </c>
      <c r="U972" s="15">
        <f t="shared" si="139"/>
        <v>213.4389166666665</v>
      </c>
      <c r="V972" s="135">
        <f t="shared" si="140"/>
        <v>23479.280833333331</v>
      </c>
      <c r="W972" s="104" t="s">
        <v>2367</v>
      </c>
      <c r="X972" s="136"/>
      <c r="Y972" s="135"/>
      <c r="Z972" s="114">
        <f t="shared" si="141"/>
        <v>10</v>
      </c>
    </row>
    <row r="973" spans="1:26" s="103" customFormat="1" ht="14.25" customHeight="1" x14ac:dyDescent="0.25">
      <c r="A973" s="97"/>
      <c r="B973" s="98" t="s">
        <v>2813</v>
      </c>
      <c r="C973" s="97"/>
      <c r="D973" s="97"/>
      <c r="E973" s="97"/>
      <c r="F973" s="97" t="s">
        <v>2337</v>
      </c>
      <c r="G973" s="234">
        <v>42075</v>
      </c>
      <c r="H973" s="302">
        <v>12</v>
      </c>
      <c r="I973" s="302">
        <v>3</v>
      </c>
      <c r="J973" s="70">
        <v>2015</v>
      </c>
      <c r="K973" s="40" t="s">
        <v>56</v>
      </c>
      <c r="L973" s="40" t="s">
        <v>2814</v>
      </c>
      <c r="M973" s="97" t="s">
        <v>796</v>
      </c>
      <c r="N973" s="30">
        <v>41333.040000000001</v>
      </c>
      <c r="O973" s="102"/>
      <c r="Q973" s="103">
        <v>10</v>
      </c>
      <c r="R973" s="30">
        <f t="shared" si="137"/>
        <v>344.43366666666662</v>
      </c>
      <c r="S973" s="5">
        <v>3099.9029999999998</v>
      </c>
      <c r="T973" s="313">
        <f t="shared" si="138"/>
        <v>3444.3366666666661</v>
      </c>
      <c r="U973" s="15">
        <f t="shared" si="139"/>
        <v>344.43366666666634</v>
      </c>
      <c r="V973" s="135">
        <f>N973-T973</f>
        <v>37888.703333333338</v>
      </c>
      <c r="W973" s="104" t="s">
        <v>2367</v>
      </c>
      <c r="X973" s="136"/>
      <c r="Y973" s="135"/>
      <c r="Z973" s="114">
        <f t="shared" si="141"/>
        <v>10</v>
      </c>
    </row>
    <row r="974" spans="1:26" x14ac:dyDescent="0.25">
      <c r="B974" s="105" t="s">
        <v>2809</v>
      </c>
      <c r="N974" s="109">
        <f>SUM(N971:N973)</f>
        <v>92560.38</v>
      </c>
      <c r="O974" s="102"/>
      <c r="P974" s="103"/>
      <c r="Q974" s="282"/>
      <c r="R974" s="109">
        <f>SUM(R971:R973)</f>
        <v>771.31149999999991</v>
      </c>
      <c r="S974" s="109">
        <v>6941.8035</v>
      </c>
      <c r="T974" s="109">
        <f t="shared" ref="S974:V974" si="142">SUM(T971:T973)</f>
        <v>7713.1149999999989</v>
      </c>
      <c r="U974" s="109">
        <f t="shared" si="142"/>
        <v>771.31149999999934</v>
      </c>
      <c r="V974" s="109">
        <f t="shared" si="142"/>
        <v>84847.264999999999</v>
      </c>
      <c r="Z974" s="114"/>
    </row>
    <row r="975" spans="1:26" x14ac:dyDescent="0.25">
      <c r="B975" s="105"/>
      <c r="N975" s="297"/>
      <c r="O975" s="102"/>
      <c r="P975" s="103"/>
      <c r="Q975" s="282"/>
      <c r="R975" s="297"/>
      <c r="S975" s="297"/>
      <c r="T975" s="297"/>
      <c r="U975" s="297"/>
      <c r="V975" s="297"/>
      <c r="Z975" s="114"/>
    </row>
    <row r="976" spans="1:26" x14ac:dyDescent="0.25">
      <c r="A976" s="97"/>
      <c r="B976" s="98" t="s">
        <v>2878</v>
      </c>
      <c r="C976" s="97"/>
      <c r="D976" s="97"/>
      <c r="E976" s="97" t="s">
        <v>2881</v>
      </c>
      <c r="F976" s="97" t="s">
        <v>2879</v>
      </c>
      <c r="G976" s="234">
        <v>42177</v>
      </c>
      <c r="H976" s="302">
        <v>22</v>
      </c>
      <c r="I976" s="302">
        <v>6</v>
      </c>
      <c r="J976" s="70">
        <v>2015</v>
      </c>
      <c r="K976" s="40" t="s">
        <v>56</v>
      </c>
      <c r="L976" s="40" t="s">
        <v>2880</v>
      </c>
      <c r="M976" s="97" t="s">
        <v>796</v>
      </c>
      <c r="N976" s="30">
        <v>8726.1</v>
      </c>
      <c r="O976" s="103"/>
      <c r="P976" s="30"/>
      <c r="Q976" s="103">
        <v>10</v>
      </c>
      <c r="R976" s="30">
        <f>(((N976)-1)/10)/12</f>
        <v>72.709166666666661</v>
      </c>
      <c r="S976" s="5">
        <v>436.255</v>
      </c>
      <c r="T976" s="313">
        <f>Z976*R976</f>
        <v>508.96416666666664</v>
      </c>
      <c r="U976" s="15">
        <f t="shared" ref="U976" si="143">T976-S976</f>
        <v>72.709166666666647</v>
      </c>
      <c r="V976" s="135">
        <f>N976-T976</f>
        <v>8217.1358333333337</v>
      </c>
      <c r="W976" s="104"/>
      <c r="X976" s="136"/>
      <c r="Y976" s="135"/>
      <c r="Z976" s="114">
        <f t="shared" ref="Z976" si="144">IF((DATEDIF(G976,Z$4,"m"))&gt;=120,120,(DATEDIF(G976,Z$4,"m")))</f>
        <v>7</v>
      </c>
    </row>
    <row r="977" spans="1:26" x14ac:dyDescent="0.25">
      <c r="B977" s="105" t="s">
        <v>2877</v>
      </c>
      <c r="M977" s="109"/>
      <c r="N977" s="109">
        <f>SUBTOTAL(9,N976)</f>
        <v>8726.1</v>
      </c>
      <c r="O977" s="282"/>
      <c r="P977" s="109"/>
      <c r="Q977" s="103"/>
      <c r="R977" s="109">
        <f>SUM(R976)</f>
        <v>72.709166666666661</v>
      </c>
      <c r="S977" s="109">
        <v>436.255</v>
      </c>
      <c r="T977" s="109">
        <f t="shared" ref="S977:V977" si="145">SUM(T976)</f>
        <v>508.96416666666664</v>
      </c>
      <c r="U977" s="109">
        <f t="shared" si="145"/>
        <v>72.709166666666647</v>
      </c>
      <c r="V977" s="109">
        <f t="shared" si="145"/>
        <v>8217.1358333333337</v>
      </c>
      <c r="Z977" s="114"/>
    </row>
    <row r="978" spans="1:26" x14ac:dyDescent="0.25">
      <c r="B978" s="105"/>
      <c r="N978" s="297"/>
      <c r="O978" s="102"/>
      <c r="P978" s="103"/>
      <c r="Q978" s="103"/>
      <c r="R978" s="297"/>
      <c r="S978" s="297"/>
      <c r="T978" s="297"/>
      <c r="U978" s="297"/>
      <c r="V978" s="297"/>
      <c r="Z978" s="114"/>
    </row>
    <row r="979" spans="1:26" s="103" customFormat="1" ht="14.25" customHeight="1" x14ac:dyDescent="0.25">
      <c r="A979" s="97"/>
      <c r="B979" s="98" t="s">
        <v>2888</v>
      </c>
      <c r="C979" s="97" t="s">
        <v>2890</v>
      </c>
      <c r="D979" s="97"/>
      <c r="E979" s="97"/>
      <c r="F979" s="97" t="s">
        <v>2879</v>
      </c>
      <c r="G979" s="234">
        <v>42191</v>
      </c>
      <c r="H979" s="302">
        <v>6</v>
      </c>
      <c r="I979" s="302">
        <v>7</v>
      </c>
      <c r="J979" s="70">
        <v>2015</v>
      </c>
      <c r="K979" s="40" t="s">
        <v>56</v>
      </c>
      <c r="L979" s="40" t="s">
        <v>2889</v>
      </c>
      <c r="M979" s="97" t="s">
        <v>796</v>
      </c>
      <c r="N979" s="30">
        <v>2195</v>
      </c>
      <c r="O979" s="102"/>
      <c r="Q979" s="103">
        <v>10</v>
      </c>
      <c r="R979" s="30">
        <f>(((N979)-1)/10)/12</f>
        <v>18.283333333333335</v>
      </c>
      <c r="S979" s="5">
        <v>91.416666666666671</v>
      </c>
      <c r="T979" s="313">
        <f t="shared" ref="T979:T980" si="146">Z979*R979</f>
        <v>109.70000000000002</v>
      </c>
      <c r="U979" s="15">
        <f t="shared" ref="U979:U980" si="147">T979-S979</f>
        <v>18.283333333333346</v>
      </c>
      <c r="V979" s="135">
        <f t="shared" ref="V979" si="148">N979-T979</f>
        <v>2085.3000000000002</v>
      </c>
      <c r="W979" s="104" t="s">
        <v>2367</v>
      </c>
      <c r="X979" s="136"/>
      <c r="Y979" s="135"/>
      <c r="Z979" s="114">
        <f t="shared" ref="Z979:Z980" si="149">IF((DATEDIF(G979,Z$4,"m"))&gt;=120,120,(DATEDIF(G979,Z$4,"m")))</f>
        <v>6</v>
      </c>
    </row>
    <row r="980" spans="1:26" s="103" customFormat="1" ht="14.25" customHeight="1" x14ac:dyDescent="0.25">
      <c r="A980" s="97"/>
      <c r="B980" s="98" t="s">
        <v>2888</v>
      </c>
      <c r="C980" s="97" t="s">
        <v>2890</v>
      </c>
      <c r="D980" s="97"/>
      <c r="E980" s="97"/>
      <c r="F980" s="97" t="s">
        <v>2879</v>
      </c>
      <c r="G980" s="234">
        <v>42191</v>
      </c>
      <c r="H980" s="302">
        <v>6</v>
      </c>
      <c r="I980" s="302">
        <v>7</v>
      </c>
      <c r="J980" s="70">
        <v>2015</v>
      </c>
      <c r="K980" s="40" t="s">
        <v>56</v>
      </c>
      <c r="L980" s="40" t="s">
        <v>2889</v>
      </c>
      <c r="M980" s="97" t="s">
        <v>796</v>
      </c>
      <c r="N980" s="30">
        <v>2195</v>
      </c>
      <c r="O980" s="102"/>
      <c r="Q980" s="103">
        <v>10</v>
      </c>
      <c r="R980" s="30">
        <f t="shared" ref="R980" si="150">(((N980)-1)/10)/12</f>
        <v>18.283333333333335</v>
      </c>
      <c r="S980" s="5">
        <v>91.416666666666671</v>
      </c>
      <c r="T980" s="313">
        <f t="shared" si="146"/>
        <v>109.70000000000002</v>
      </c>
      <c r="U980" s="15">
        <f t="shared" si="147"/>
        <v>18.283333333333346</v>
      </c>
      <c r="V980" s="135">
        <f>N980-T980</f>
        <v>2085.3000000000002</v>
      </c>
      <c r="W980" s="104" t="s">
        <v>2367</v>
      </c>
      <c r="X980" s="136"/>
      <c r="Y980" s="135"/>
      <c r="Z980" s="114">
        <f t="shared" si="149"/>
        <v>6</v>
      </c>
    </row>
    <row r="981" spans="1:26" x14ac:dyDescent="0.25">
      <c r="B981" s="105" t="s">
        <v>2891</v>
      </c>
      <c r="N981" s="109">
        <f>SUBTOTAL(9,N979:N980)</f>
        <v>4390</v>
      </c>
      <c r="O981" s="109">
        <f t="shared" ref="O981:V981" si="151">SUBTOTAL(9,O979:O980)</f>
        <v>0</v>
      </c>
      <c r="P981" s="109">
        <f t="shared" si="151"/>
        <v>0</v>
      </c>
      <c r="Q981" s="109"/>
      <c r="R981" s="109">
        <f t="shared" si="151"/>
        <v>36.56666666666667</v>
      </c>
      <c r="S981" s="109">
        <v>182.83333333333334</v>
      </c>
      <c r="T981" s="109">
        <f t="shared" si="151"/>
        <v>219.40000000000003</v>
      </c>
      <c r="U981" s="109">
        <f>SUBTOTAL(9,U979:U980)</f>
        <v>36.566666666666691</v>
      </c>
      <c r="V981" s="109">
        <f t="shared" si="151"/>
        <v>4170.6000000000004</v>
      </c>
      <c r="Z981" s="114"/>
    </row>
    <row r="982" spans="1:26" x14ac:dyDescent="0.25">
      <c r="B982" s="105"/>
      <c r="N982" s="297"/>
      <c r="O982" s="297"/>
      <c r="P982" s="297"/>
      <c r="Q982" s="297"/>
      <c r="R982" s="297"/>
      <c r="S982" s="297"/>
      <c r="T982" s="297"/>
      <c r="U982" s="297"/>
      <c r="V982" s="297"/>
      <c r="Z982" s="114"/>
    </row>
    <row r="983" spans="1:26" s="103" customFormat="1" ht="14.25" customHeight="1" x14ac:dyDescent="0.25">
      <c r="A983" s="97"/>
      <c r="B983" s="98" t="s">
        <v>2892</v>
      </c>
      <c r="C983" s="97"/>
      <c r="D983" s="97"/>
      <c r="E983" s="97"/>
      <c r="F983" s="97" t="s">
        <v>2337</v>
      </c>
      <c r="G983" s="234">
        <v>42226</v>
      </c>
      <c r="H983" s="302">
        <v>10</v>
      </c>
      <c r="I983" s="302">
        <v>8</v>
      </c>
      <c r="J983" s="70">
        <v>2015</v>
      </c>
      <c r="K983" s="40" t="s">
        <v>56</v>
      </c>
      <c r="L983" s="40" t="s">
        <v>2896</v>
      </c>
      <c r="M983" s="97" t="s">
        <v>796</v>
      </c>
      <c r="N983" s="30">
        <v>4904.08</v>
      </c>
      <c r="O983" s="102"/>
      <c r="Q983" s="103">
        <v>10</v>
      </c>
      <c r="R983" s="30">
        <f t="shared" ref="R983" si="152">(((N983)-1)/10)/12</f>
        <v>40.859000000000002</v>
      </c>
      <c r="S983" s="5">
        <v>163.43600000000001</v>
      </c>
      <c r="T983" s="313">
        <f t="shared" ref="T983:T984" si="153">Z983*R983</f>
        <v>204.29500000000002</v>
      </c>
      <c r="U983" s="15">
        <f t="shared" ref="U983:U984" si="154">T983-S983</f>
        <v>40.859000000000009</v>
      </c>
      <c r="V983" s="135">
        <f t="shared" ref="V983" si="155">N983-T983</f>
        <v>4699.7849999999999</v>
      </c>
      <c r="W983" s="104" t="s">
        <v>2367</v>
      </c>
      <c r="X983" s="136"/>
      <c r="Y983" s="135"/>
      <c r="Z983" s="114">
        <f t="shared" ref="Z983:Z984" si="156">IF((DATEDIF(G983,Z$4,"m"))&gt;=120,120,(DATEDIF(G983,Z$4,"m")))</f>
        <v>5</v>
      </c>
    </row>
    <row r="984" spans="1:26" s="103" customFormat="1" ht="14.25" customHeight="1" x14ac:dyDescent="0.25">
      <c r="A984" s="97"/>
      <c r="B984" s="98" t="s">
        <v>2892</v>
      </c>
      <c r="C984" s="97"/>
      <c r="D984" s="97"/>
      <c r="E984" s="97"/>
      <c r="F984" s="97" t="s">
        <v>2337</v>
      </c>
      <c r="G984" s="234">
        <v>42226</v>
      </c>
      <c r="H984" s="302">
        <v>10</v>
      </c>
      <c r="I984" s="302">
        <v>8</v>
      </c>
      <c r="J984" s="70">
        <v>2015</v>
      </c>
      <c r="K984" s="40" t="s">
        <v>56</v>
      </c>
      <c r="L984" s="40" t="s">
        <v>2896</v>
      </c>
      <c r="M984" s="97" t="s">
        <v>796</v>
      </c>
      <c r="N984" s="30">
        <v>4904.08</v>
      </c>
      <c r="O984" s="102"/>
      <c r="Q984" s="103">
        <v>10</v>
      </c>
      <c r="R984" s="30">
        <f>(((N984)-1)/10)/12</f>
        <v>40.859000000000002</v>
      </c>
      <c r="S984" s="5">
        <v>163.43600000000001</v>
      </c>
      <c r="T984" s="313">
        <f t="shared" si="153"/>
        <v>204.29500000000002</v>
      </c>
      <c r="U984" s="15">
        <f t="shared" si="154"/>
        <v>40.859000000000009</v>
      </c>
      <c r="V984" s="135">
        <f>N984-T984</f>
        <v>4699.7849999999999</v>
      </c>
      <c r="W984" s="104" t="s">
        <v>2367</v>
      </c>
      <c r="X984" s="136"/>
      <c r="Y984" s="135"/>
      <c r="Z984" s="114">
        <f t="shared" si="156"/>
        <v>5</v>
      </c>
    </row>
    <row r="985" spans="1:26" x14ac:dyDescent="0.25">
      <c r="B985" s="98" t="s">
        <v>2893</v>
      </c>
      <c r="F985" s="97" t="s">
        <v>2337</v>
      </c>
      <c r="G985" s="234">
        <v>42226</v>
      </c>
      <c r="H985" s="302">
        <v>10</v>
      </c>
      <c r="I985" s="302">
        <v>8</v>
      </c>
      <c r="J985" s="70">
        <v>2015</v>
      </c>
      <c r="K985" s="40" t="s">
        <v>56</v>
      </c>
      <c r="L985" s="40" t="s">
        <v>2896</v>
      </c>
      <c r="M985" s="97" t="s">
        <v>796</v>
      </c>
      <c r="N985" s="30">
        <v>1803.04</v>
      </c>
      <c r="O985" s="102"/>
      <c r="P985" s="103"/>
      <c r="Q985" s="103">
        <v>10</v>
      </c>
      <c r="R985" s="30">
        <f t="shared" ref="R985:R988" si="157">(((N985)-1)/10)/12</f>
        <v>15.017000000000001</v>
      </c>
      <c r="S985" s="5">
        <v>60.068000000000005</v>
      </c>
      <c r="T985" s="313">
        <f t="shared" ref="T985:T988" si="158">Z985*R985</f>
        <v>75.085000000000008</v>
      </c>
      <c r="U985" s="15">
        <f t="shared" ref="U985:U988" si="159">T985-S985</f>
        <v>15.017000000000003</v>
      </c>
      <c r="V985" s="135">
        <f t="shared" ref="V985:V988" si="160">N985-T985</f>
        <v>1727.9549999999999</v>
      </c>
      <c r="W985" s="104" t="s">
        <v>2367</v>
      </c>
      <c r="X985" s="136"/>
      <c r="Y985" s="135"/>
      <c r="Z985" s="114">
        <f t="shared" ref="Z985:Z988" si="161">IF((DATEDIF(G985,Z$4,"m"))&gt;=120,120,(DATEDIF(G985,Z$4,"m")))</f>
        <v>5</v>
      </c>
    </row>
    <row r="986" spans="1:26" x14ac:dyDescent="0.25">
      <c r="B986" s="98" t="s">
        <v>2893</v>
      </c>
      <c r="F986" s="97" t="s">
        <v>2337</v>
      </c>
      <c r="G986" s="234">
        <v>42226</v>
      </c>
      <c r="H986" s="302">
        <v>10</v>
      </c>
      <c r="I986" s="302">
        <v>8</v>
      </c>
      <c r="J986" s="70">
        <v>2015</v>
      </c>
      <c r="K986" s="40" t="s">
        <v>56</v>
      </c>
      <c r="L986" s="40" t="s">
        <v>2896</v>
      </c>
      <c r="M986" s="97" t="s">
        <v>796</v>
      </c>
      <c r="N986" s="30">
        <v>1803.04</v>
      </c>
      <c r="O986" s="102"/>
      <c r="P986" s="103"/>
      <c r="Q986" s="103">
        <v>10</v>
      </c>
      <c r="R986" s="30">
        <f t="shared" si="157"/>
        <v>15.017000000000001</v>
      </c>
      <c r="S986" s="5">
        <v>60.068000000000005</v>
      </c>
      <c r="T986" s="313">
        <f t="shared" si="158"/>
        <v>75.085000000000008</v>
      </c>
      <c r="U986" s="15">
        <f t="shared" si="159"/>
        <v>15.017000000000003</v>
      </c>
      <c r="V986" s="135">
        <f t="shared" si="160"/>
        <v>1727.9549999999999</v>
      </c>
      <c r="W986" s="104" t="s">
        <v>2367</v>
      </c>
      <c r="X986" s="136"/>
      <c r="Y986" s="135"/>
      <c r="Z986" s="114">
        <f t="shared" si="161"/>
        <v>5</v>
      </c>
    </row>
    <row r="987" spans="1:26" x14ac:dyDescent="0.25">
      <c r="B987" s="98" t="s">
        <v>2894</v>
      </c>
      <c r="F987" s="97" t="s">
        <v>2337</v>
      </c>
      <c r="G987" s="234">
        <v>42226</v>
      </c>
      <c r="H987" s="302">
        <v>10</v>
      </c>
      <c r="I987" s="302">
        <v>8</v>
      </c>
      <c r="J987" s="70">
        <v>2015</v>
      </c>
      <c r="K987" s="40" t="s">
        <v>56</v>
      </c>
      <c r="L987" s="40" t="s">
        <v>2896</v>
      </c>
      <c r="M987" s="97" t="s">
        <v>796</v>
      </c>
      <c r="N987" s="30">
        <v>4328.24</v>
      </c>
      <c r="O987" s="102"/>
      <c r="P987" s="103"/>
      <c r="Q987" s="103">
        <v>10</v>
      </c>
      <c r="R987" s="30">
        <f t="shared" si="157"/>
        <v>36.060333333333332</v>
      </c>
      <c r="S987" s="5">
        <v>144.24133333333333</v>
      </c>
      <c r="T987" s="313">
        <f t="shared" si="158"/>
        <v>180.30166666666668</v>
      </c>
      <c r="U987" s="15">
        <f t="shared" si="159"/>
        <v>36.060333333333347</v>
      </c>
      <c r="V987" s="135">
        <f t="shared" si="160"/>
        <v>4147.9383333333335</v>
      </c>
      <c r="W987" s="104" t="s">
        <v>2367</v>
      </c>
      <c r="X987" s="136"/>
      <c r="Y987" s="135"/>
      <c r="Z987" s="114">
        <f t="shared" si="161"/>
        <v>5</v>
      </c>
    </row>
    <row r="988" spans="1:26" x14ac:dyDescent="0.25">
      <c r="B988" s="98" t="s">
        <v>2894</v>
      </c>
      <c r="F988" s="97" t="s">
        <v>2337</v>
      </c>
      <c r="G988" s="234">
        <v>42226</v>
      </c>
      <c r="H988" s="302">
        <v>10</v>
      </c>
      <c r="I988" s="302">
        <v>8</v>
      </c>
      <c r="J988" s="70">
        <v>2015</v>
      </c>
      <c r="K988" s="40" t="s">
        <v>56</v>
      </c>
      <c r="L988" s="40" t="s">
        <v>2896</v>
      </c>
      <c r="M988" s="97" t="s">
        <v>796</v>
      </c>
      <c r="N988" s="30">
        <v>4328.24</v>
      </c>
      <c r="O988" s="102"/>
      <c r="P988" s="103"/>
      <c r="Q988" s="103">
        <v>10</v>
      </c>
      <c r="R988" s="30">
        <f t="shared" si="157"/>
        <v>36.060333333333332</v>
      </c>
      <c r="S988" s="5">
        <v>144.24133333333333</v>
      </c>
      <c r="T988" s="313">
        <f t="shared" si="158"/>
        <v>180.30166666666668</v>
      </c>
      <c r="U988" s="15">
        <f t="shared" si="159"/>
        <v>36.060333333333347</v>
      </c>
      <c r="V988" s="135">
        <f t="shared" si="160"/>
        <v>4147.9383333333335</v>
      </c>
      <c r="W988" s="104" t="s">
        <v>2367</v>
      </c>
      <c r="X988" s="136"/>
      <c r="Y988" s="135"/>
      <c r="Z988" s="114">
        <f t="shared" si="161"/>
        <v>5</v>
      </c>
    </row>
    <row r="989" spans="1:26" x14ac:dyDescent="0.25">
      <c r="B989" s="105" t="s">
        <v>2895</v>
      </c>
      <c r="N989" s="109">
        <f>SUBTOTAL(9,N983:N988)</f>
        <v>22070.720000000001</v>
      </c>
      <c r="O989" s="109">
        <f>SUBTOTAL(9,O983:O984)</f>
        <v>0</v>
      </c>
      <c r="P989" s="109">
        <f>SUBTOTAL(9,P983:P984)</f>
        <v>0</v>
      </c>
      <c r="Q989" s="109"/>
      <c r="R989" s="109">
        <f>SUBTOTAL(9,R983:R988)</f>
        <v>183.87266666666665</v>
      </c>
      <c r="S989" s="109">
        <v>735.49066666666658</v>
      </c>
      <c r="T989" s="109">
        <f t="shared" ref="S989:V989" si="162">SUBTOTAL(9,T983:T988)</f>
        <v>919.36333333333346</v>
      </c>
      <c r="U989" s="109">
        <f t="shared" si="162"/>
        <v>183.8726666666667</v>
      </c>
      <c r="V989" s="109">
        <f t="shared" si="162"/>
        <v>21151.356666666667</v>
      </c>
      <c r="Z989" s="114"/>
    </row>
    <row r="990" spans="1:26" x14ac:dyDescent="0.25">
      <c r="B990" s="105"/>
      <c r="N990" s="297"/>
      <c r="O990" s="297"/>
      <c r="P990" s="297"/>
      <c r="Q990" s="297"/>
      <c r="R990" s="297"/>
      <c r="S990" s="297"/>
      <c r="T990" s="297"/>
      <c r="U990" s="297"/>
      <c r="V990" s="297"/>
      <c r="Z990" s="114"/>
    </row>
    <row r="991" spans="1:26" x14ac:dyDescent="0.25">
      <c r="A991" s="97"/>
      <c r="B991" s="98" t="s">
        <v>2897</v>
      </c>
      <c r="C991" s="97" t="s">
        <v>2898</v>
      </c>
      <c r="D991" s="97"/>
      <c r="E991" s="97"/>
      <c r="F991" s="97" t="s">
        <v>2899</v>
      </c>
      <c r="G991" s="234">
        <v>42262</v>
      </c>
      <c r="H991" s="302">
        <v>15</v>
      </c>
      <c r="I991" s="302">
        <v>9</v>
      </c>
      <c r="J991" s="70">
        <v>2015</v>
      </c>
      <c r="K991" s="40" t="s">
        <v>56</v>
      </c>
      <c r="L991" s="40" t="s">
        <v>2900</v>
      </c>
      <c r="M991" s="97" t="s">
        <v>796</v>
      </c>
      <c r="N991" s="30">
        <v>12995</v>
      </c>
      <c r="O991" s="103"/>
      <c r="P991" s="30"/>
      <c r="Q991" s="103">
        <v>10</v>
      </c>
      <c r="R991" s="30">
        <f>(((N991)-1)/10)/12</f>
        <v>108.28333333333335</v>
      </c>
      <c r="S991" s="5">
        <v>324.85000000000002</v>
      </c>
      <c r="T991" s="313">
        <f>Z991*R991</f>
        <v>433.13333333333338</v>
      </c>
      <c r="U991" s="15">
        <f t="shared" ref="U991" si="163">T991-S991</f>
        <v>108.28333333333336</v>
      </c>
      <c r="V991" s="135">
        <f>N991-T991</f>
        <v>12561.866666666667</v>
      </c>
      <c r="W991" s="104"/>
      <c r="X991" s="136"/>
      <c r="Y991" s="135"/>
      <c r="Z991" s="114">
        <f t="shared" ref="Z991" si="164">IF((DATEDIF(G991,Z$4,"m"))&gt;=120,120,(DATEDIF(G991,Z$4,"m")))</f>
        <v>4</v>
      </c>
    </row>
    <row r="992" spans="1:26" x14ac:dyDescent="0.25">
      <c r="B992" s="105" t="s">
        <v>2901</v>
      </c>
      <c r="M992" s="109"/>
      <c r="N992" s="109">
        <f>SUBTOTAL(9,N991)</f>
        <v>12995</v>
      </c>
      <c r="O992" s="282"/>
      <c r="P992" s="109"/>
      <c r="Q992" s="103"/>
      <c r="R992" s="109">
        <f>SUM(R991)</f>
        <v>108.28333333333335</v>
      </c>
      <c r="S992" s="109">
        <v>324.85000000000002</v>
      </c>
      <c r="T992" s="109">
        <f t="shared" ref="S992:V992" si="165">SUM(T991)</f>
        <v>433.13333333333338</v>
      </c>
      <c r="U992" s="109">
        <f t="shared" si="165"/>
        <v>108.28333333333336</v>
      </c>
      <c r="V992" s="109">
        <f t="shared" si="165"/>
        <v>12561.866666666667</v>
      </c>
      <c r="Z992" s="114"/>
    </row>
    <row r="993" spans="1:26" x14ac:dyDescent="0.25">
      <c r="B993" s="105"/>
      <c r="N993" s="297"/>
      <c r="O993" s="297"/>
      <c r="P993" s="297"/>
      <c r="Q993" s="297"/>
      <c r="R993" s="297"/>
      <c r="S993" s="297"/>
      <c r="T993" s="297"/>
      <c r="U993" s="297"/>
      <c r="V993" s="297"/>
      <c r="Z993" s="114"/>
    </row>
    <row r="994" spans="1:26" s="103" customFormat="1" ht="14.25" customHeight="1" x14ac:dyDescent="0.25">
      <c r="A994" s="97"/>
      <c r="B994" s="98" t="s">
        <v>2903</v>
      </c>
      <c r="C994" s="97"/>
      <c r="D994" s="97"/>
      <c r="E994" s="97"/>
      <c r="F994" s="97" t="s">
        <v>2337</v>
      </c>
      <c r="G994" s="234">
        <v>42279</v>
      </c>
      <c r="H994" s="302">
        <v>2</v>
      </c>
      <c r="I994" s="302">
        <v>10</v>
      </c>
      <c r="J994" s="70">
        <v>2015</v>
      </c>
      <c r="K994" s="40" t="s">
        <v>56</v>
      </c>
      <c r="L994" s="40" t="s">
        <v>2908</v>
      </c>
      <c r="M994" s="97" t="s">
        <v>796</v>
      </c>
      <c r="N994" s="30">
        <v>5286.4</v>
      </c>
      <c r="O994" s="102"/>
      <c r="Q994" s="103">
        <v>10</v>
      </c>
      <c r="R994" s="30">
        <f>(((N994)-1)/10)/12</f>
        <v>44.044999999999995</v>
      </c>
      <c r="S994" s="5">
        <v>88.089999999999989</v>
      </c>
      <c r="T994" s="313">
        <f t="shared" ref="T994:T998" si="166">Z994*R994</f>
        <v>132.13499999999999</v>
      </c>
      <c r="U994" s="15">
        <f t="shared" ref="U994:U998" si="167">T994-S994</f>
        <v>44.045000000000002</v>
      </c>
      <c r="V994" s="135">
        <f>N994-T994</f>
        <v>5154.2649999999994</v>
      </c>
      <c r="W994" s="104" t="s">
        <v>2367</v>
      </c>
      <c r="X994" s="136"/>
      <c r="Y994" s="135"/>
      <c r="Z994" s="114">
        <f t="shared" ref="Z994:Z998" si="168">IF((DATEDIF(G994,Z$4,"m"))&gt;=120,120,(DATEDIF(G994,Z$4,"m")))</f>
        <v>3</v>
      </c>
    </row>
    <row r="995" spans="1:26" x14ac:dyDescent="0.25">
      <c r="B995" s="98" t="s">
        <v>2904</v>
      </c>
      <c r="F995" s="97" t="s">
        <v>2337</v>
      </c>
      <c r="G995" s="234">
        <v>42279</v>
      </c>
      <c r="H995" s="302">
        <v>2</v>
      </c>
      <c r="I995" s="302">
        <v>10</v>
      </c>
      <c r="J995" s="70">
        <v>2015</v>
      </c>
      <c r="K995" s="40" t="s">
        <v>56</v>
      </c>
      <c r="L995" s="40" t="s">
        <v>2908</v>
      </c>
      <c r="M995" s="97" t="s">
        <v>796</v>
      </c>
      <c r="N995" s="30">
        <v>8024</v>
      </c>
      <c r="O995" s="102"/>
      <c r="P995" s="103"/>
      <c r="Q995" s="103">
        <v>10</v>
      </c>
      <c r="R995" s="30">
        <f t="shared" ref="R995:R998" si="169">(((N995)-1)/10)/12</f>
        <v>66.858333333333334</v>
      </c>
      <c r="S995" s="5">
        <v>133.71666666666667</v>
      </c>
      <c r="T995" s="313">
        <f t="shared" si="166"/>
        <v>200.57499999999999</v>
      </c>
      <c r="U995" s="15">
        <f t="shared" si="167"/>
        <v>66.85833333333332</v>
      </c>
      <c r="V995" s="135">
        <f t="shared" ref="V995:V998" si="170">N995-T995</f>
        <v>7823.4250000000002</v>
      </c>
      <c r="W995" s="104" t="s">
        <v>2367</v>
      </c>
      <c r="X995" s="136"/>
      <c r="Y995" s="135"/>
      <c r="Z995" s="114">
        <f t="shared" si="168"/>
        <v>3</v>
      </c>
    </row>
    <row r="996" spans="1:26" x14ac:dyDescent="0.25">
      <c r="B996" s="98" t="s">
        <v>2905</v>
      </c>
      <c r="F996" s="97" t="s">
        <v>2337</v>
      </c>
      <c r="G996" s="234">
        <v>42279</v>
      </c>
      <c r="H996" s="302">
        <v>2</v>
      </c>
      <c r="I996" s="302">
        <v>10</v>
      </c>
      <c r="J996" s="70">
        <v>2015</v>
      </c>
      <c r="K996" s="40" t="s">
        <v>56</v>
      </c>
      <c r="L996" s="40" t="s">
        <v>2908</v>
      </c>
      <c r="M996" s="97" t="s">
        <v>796</v>
      </c>
      <c r="N996" s="30">
        <v>3672.16</v>
      </c>
      <c r="O996" s="102"/>
      <c r="P996" s="103"/>
      <c r="Q996" s="103">
        <v>10</v>
      </c>
      <c r="R996" s="30">
        <f t="shared" si="169"/>
        <v>30.593</v>
      </c>
      <c r="S996" s="5">
        <v>61.186</v>
      </c>
      <c r="T996" s="313">
        <f t="shared" si="166"/>
        <v>91.778999999999996</v>
      </c>
      <c r="U996" s="15">
        <f t="shared" si="167"/>
        <v>30.592999999999996</v>
      </c>
      <c r="V996" s="135">
        <f t="shared" si="170"/>
        <v>3580.3809999999999</v>
      </c>
      <c r="W996" s="104" t="s">
        <v>2367</v>
      </c>
      <c r="X996" s="136"/>
      <c r="Y996" s="135"/>
      <c r="Z996" s="114">
        <f t="shared" si="168"/>
        <v>3</v>
      </c>
    </row>
    <row r="997" spans="1:26" x14ac:dyDescent="0.25">
      <c r="B997" s="98" t="s">
        <v>2906</v>
      </c>
      <c r="F997" s="97" t="s">
        <v>2337</v>
      </c>
      <c r="G997" s="234">
        <v>42279</v>
      </c>
      <c r="H997" s="302">
        <v>2</v>
      </c>
      <c r="I997" s="302">
        <v>10</v>
      </c>
      <c r="J997" s="70">
        <v>2015</v>
      </c>
      <c r="K997" s="40" t="s">
        <v>56</v>
      </c>
      <c r="L997" s="40" t="s">
        <v>2908</v>
      </c>
      <c r="M997" s="97" t="s">
        <v>796</v>
      </c>
      <c r="N997" s="30">
        <v>11172.24</v>
      </c>
      <c r="O997" s="102"/>
      <c r="P997" s="103"/>
      <c r="Q997" s="103">
        <v>10</v>
      </c>
      <c r="R997" s="30">
        <f t="shared" si="169"/>
        <v>93.093666666666664</v>
      </c>
      <c r="S997" s="5">
        <v>186.18733333333333</v>
      </c>
      <c r="T997" s="313">
        <f t="shared" si="166"/>
        <v>279.28100000000001</v>
      </c>
      <c r="U997" s="15">
        <f t="shared" si="167"/>
        <v>93.093666666666678</v>
      </c>
      <c r="V997" s="135">
        <f t="shared" si="170"/>
        <v>10892.958999999999</v>
      </c>
      <c r="W997" s="104" t="s">
        <v>2367</v>
      </c>
      <c r="X997" s="136"/>
      <c r="Y997" s="135"/>
      <c r="Z997" s="114">
        <f t="shared" si="168"/>
        <v>3</v>
      </c>
    </row>
    <row r="998" spans="1:26" x14ac:dyDescent="0.25">
      <c r="B998" s="98" t="s">
        <v>2907</v>
      </c>
      <c r="F998" s="97" t="s">
        <v>2337</v>
      </c>
      <c r="G998" s="234">
        <v>42279</v>
      </c>
      <c r="H998" s="302">
        <v>2</v>
      </c>
      <c r="I998" s="302">
        <v>10</v>
      </c>
      <c r="J998" s="70">
        <v>2015</v>
      </c>
      <c r="K998" s="40" t="s">
        <v>56</v>
      </c>
      <c r="L998" s="40" t="s">
        <v>2908</v>
      </c>
      <c r="M998" s="97" t="s">
        <v>796</v>
      </c>
      <c r="N998" s="30">
        <v>4177.2</v>
      </c>
      <c r="O998" s="102"/>
      <c r="P998" s="103"/>
      <c r="Q998" s="103">
        <v>10</v>
      </c>
      <c r="R998" s="30">
        <f t="shared" si="169"/>
        <v>34.801666666666669</v>
      </c>
      <c r="S998" s="5">
        <v>69.603333333333339</v>
      </c>
      <c r="T998" s="313">
        <f t="shared" si="166"/>
        <v>104.405</v>
      </c>
      <c r="U998" s="15">
        <f t="shared" si="167"/>
        <v>34.801666666666662</v>
      </c>
      <c r="V998" s="135">
        <f t="shared" si="170"/>
        <v>4072.7949999999996</v>
      </c>
      <c r="W998" s="104" t="s">
        <v>2367</v>
      </c>
      <c r="X998" s="136"/>
      <c r="Y998" s="135"/>
      <c r="Z998" s="114">
        <f t="shared" si="168"/>
        <v>3</v>
      </c>
    </row>
    <row r="999" spans="1:26" x14ac:dyDescent="0.25">
      <c r="B999" s="105" t="s">
        <v>2902</v>
      </c>
      <c r="N999" s="109">
        <f>SUBTOTAL(9,N994:N998)</f>
        <v>32331.999999999996</v>
      </c>
      <c r="O999" s="109">
        <f>SUBTOTAL(9,O994:O994)</f>
        <v>0</v>
      </c>
      <c r="P999" s="109">
        <f>SUBTOTAL(9,P994:P994)</f>
        <v>0</v>
      </c>
      <c r="Q999" s="109"/>
      <c r="R999" s="109">
        <f>SUBTOTAL(9,R994:R998)</f>
        <v>269.39166666666665</v>
      </c>
      <c r="S999" s="109">
        <v>538.7833333333333</v>
      </c>
      <c r="T999" s="109">
        <f>SUBTOTAL(9,T994:T998)</f>
        <v>808.17499999999995</v>
      </c>
      <c r="U999" s="109">
        <f>SUBTOTAL(9,U994:U998)</f>
        <v>269.39166666666665</v>
      </c>
      <c r="V999" s="109">
        <f>SUBTOTAL(9,V994:V998)</f>
        <v>31523.824999999997</v>
      </c>
      <c r="Z999" s="114"/>
    </row>
    <row r="1000" spans="1:26" x14ac:dyDescent="0.25">
      <c r="B1000" s="105"/>
      <c r="N1000" s="297"/>
      <c r="O1000" s="297"/>
      <c r="P1000" s="297"/>
      <c r="Q1000" s="297"/>
      <c r="R1000" s="297"/>
      <c r="S1000" s="297"/>
      <c r="T1000" s="297"/>
      <c r="U1000" s="297"/>
      <c r="V1000" s="297"/>
      <c r="Z1000" s="114"/>
    </row>
    <row r="1001" spans="1:26" x14ac:dyDescent="0.25">
      <c r="A1001" s="97"/>
      <c r="B1001" s="98" t="s">
        <v>2909</v>
      </c>
      <c r="C1001" s="97"/>
      <c r="D1001" s="97"/>
      <c r="E1001" s="97"/>
      <c r="F1001" s="97" t="s">
        <v>2337</v>
      </c>
      <c r="G1001" s="234">
        <v>42313</v>
      </c>
      <c r="H1001" s="302">
        <v>5</v>
      </c>
      <c r="I1001" s="302">
        <v>11</v>
      </c>
      <c r="J1001" s="70">
        <v>2015</v>
      </c>
      <c r="K1001" s="40" t="s">
        <v>56</v>
      </c>
      <c r="L1001" s="40" t="s">
        <v>2911</v>
      </c>
      <c r="M1001" s="97" t="s">
        <v>796</v>
      </c>
      <c r="N1001" s="30">
        <v>1840.8</v>
      </c>
      <c r="O1001" s="103"/>
      <c r="P1001" s="30"/>
      <c r="Q1001" s="103">
        <v>10</v>
      </c>
      <c r="R1001" s="30">
        <f>(((N1001)-1)/10)/12</f>
        <v>15.331666666666665</v>
      </c>
      <c r="S1001" s="5">
        <v>15.331666666666665</v>
      </c>
      <c r="T1001" s="313">
        <f>Z1001*R1001</f>
        <v>30.66333333333333</v>
      </c>
      <c r="U1001" s="15">
        <f t="shared" ref="U1001" si="171">T1001-S1001</f>
        <v>15.331666666666665</v>
      </c>
      <c r="V1001" s="135">
        <f>N1001-T1001</f>
        <v>1810.1366666666665</v>
      </c>
      <c r="W1001" s="104"/>
      <c r="X1001" s="136"/>
      <c r="Y1001" s="135"/>
      <c r="Z1001" s="114">
        <f t="shared" ref="Z1001" si="172">IF((DATEDIF(G1001,Z$4,"m"))&gt;=120,120,(DATEDIF(G1001,Z$4,"m")))</f>
        <v>2</v>
      </c>
    </row>
    <row r="1002" spans="1:26" x14ac:dyDescent="0.25">
      <c r="B1002" s="105" t="s">
        <v>2910</v>
      </c>
      <c r="M1002" s="109"/>
      <c r="N1002" s="109">
        <f>SUBTOTAL(9,N1001)</f>
        <v>1840.8</v>
      </c>
      <c r="O1002" s="282"/>
      <c r="P1002" s="109"/>
      <c r="Q1002" s="103"/>
      <c r="R1002" s="109">
        <f>SUM(R1001)</f>
        <v>15.331666666666665</v>
      </c>
      <c r="S1002" s="109">
        <v>15.331666666666665</v>
      </c>
      <c r="T1002" s="109">
        <f t="shared" ref="S1002:V1002" si="173">SUM(T1001)</f>
        <v>30.66333333333333</v>
      </c>
      <c r="U1002" s="109">
        <f t="shared" si="173"/>
        <v>15.331666666666665</v>
      </c>
      <c r="V1002" s="109">
        <f t="shared" si="173"/>
        <v>1810.1366666666665</v>
      </c>
      <c r="Z1002" s="114"/>
    </row>
    <row r="1003" spans="1:26" x14ac:dyDescent="0.25">
      <c r="B1003" s="105"/>
      <c r="N1003" s="297"/>
      <c r="O1003" s="297"/>
      <c r="P1003" s="297"/>
      <c r="Q1003" s="297"/>
      <c r="R1003" s="297"/>
      <c r="S1003" s="297"/>
      <c r="T1003" s="297"/>
      <c r="U1003" s="297"/>
      <c r="V1003" s="297"/>
      <c r="Z1003" s="114"/>
    </row>
    <row r="1004" spans="1:26" x14ac:dyDescent="0.25">
      <c r="B1004" s="105"/>
      <c r="N1004" s="297"/>
      <c r="O1004" s="297"/>
      <c r="P1004" s="297"/>
      <c r="Q1004" s="297"/>
      <c r="R1004" s="297"/>
      <c r="S1004" s="297"/>
      <c r="T1004" s="297"/>
      <c r="U1004" s="297"/>
      <c r="V1004" s="297"/>
      <c r="Z1004" s="114"/>
    </row>
    <row r="1005" spans="1:26" x14ac:dyDescent="0.25">
      <c r="B1005" s="105"/>
      <c r="M1005" s="303"/>
      <c r="N1005" s="297"/>
      <c r="O1005" s="102"/>
      <c r="P1005" s="103"/>
      <c r="Q1005" s="282"/>
      <c r="R1005" s="298"/>
      <c r="S1005" s="298"/>
      <c r="T1005" s="298"/>
      <c r="U1005" s="298"/>
      <c r="V1005" s="298"/>
      <c r="Z1005" s="114"/>
    </row>
    <row r="1006" spans="1:26" x14ac:dyDescent="0.25">
      <c r="A1006" s="105" t="s">
        <v>2749</v>
      </c>
      <c r="B1006" s="111"/>
      <c r="N1006" s="115">
        <f>+N974+N977+N981+N989+N992+N999+N1002</f>
        <v>174915</v>
      </c>
      <c r="O1006" s="422"/>
      <c r="P1006" s="422"/>
      <c r="Q1006" s="103"/>
      <c r="R1006" s="115">
        <f>+R974+R977+R981+R989+R992+R999</f>
        <v>1442.135</v>
      </c>
      <c r="S1006" s="115">
        <v>9175.3474999999999</v>
      </c>
      <c r="T1006" s="115">
        <f>+T974+T977+T981+T989+T992+T999+T1002</f>
        <v>10632.814166666665</v>
      </c>
      <c r="U1006" s="115">
        <f>+U974+U977+U981+U989+U992+U999+U1002</f>
        <v>1457.466666666666</v>
      </c>
      <c r="V1006" s="115">
        <f>+V974+V977+V981+V989+V992+V999+V1002</f>
        <v>164282.18583333335</v>
      </c>
      <c r="Z1006" s="114"/>
    </row>
    <row r="1007" spans="1:26" x14ac:dyDescent="0.25">
      <c r="B1007" s="105"/>
      <c r="M1007" s="303"/>
      <c r="N1007" s="297"/>
      <c r="O1007" s="102"/>
      <c r="P1007" s="103"/>
      <c r="Q1007" s="282"/>
      <c r="R1007" s="298"/>
      <c r="S1007" s="298"/>
      <c r="T1007" s="298"/>
      <c r="U1007" s="298"/>
      <c r="V1007" s="298"/>
      <c r="Z1007" s="114"/>
    </row>
    <row r="1008" spans="1:26" s="295" customFormat="1" ht="16.5" thickBot="1" x14ac:dyDescent="0.3">
      <c r="A1008" s="22" t="s">
        <v>2750</v>
      </c>
      <c r="B1008" s="304"/>
      <c r="C1008" s="304"/>
      <c r="D1008" s="304"/>
      <c r="E1008" s="304"/>
      <c r="F1008" s="304"/>
      <c r="G1008" s="304"/>
      <c r="H1008" s="305"/>
      <c r="I1008" s="305"/>
      <c r="J1008" s="306"/>
      <c r="K1008" s="304"/>
      <c r="L1008" s="307"/>
      <c r="M1008" s="304"/>
      <c r="N1008" s="294">
        <f>+N969+N1006</f>
        <v>10039256.258318713</v>
      </c>
      <c r="O1008" s="297"/>
      <c r="P1008" s="297"/>
      <c r="Q1008" s="297"/>
      <c r="R1008" s="294">
        <f>+R969+R1006</f>
        <v>76630.668974878179</v>
      </c>
      <c r="S1008" s="294">
        <v>6345213.8607548987</v>
      </c>
      <c r="T1008" s="294">
        <f>+T969+T1006</f>
        <v>6421859.8613964431</v>
      </c>
      <c r="U1008" s="294">
        <f>+U969+U1006</f>
        <v>76646.000641544888</v>
      </c>
      <c r="V1008" s="294">
        <f>+V969+V1006</f>
        <v>3617396.3969222712</v>
      </c>
      <c r="Z1008" s="114"/>
    </row>
    <row r="1009" ht="16.5" thickTop="1" x14ac:dyDescent="0.25"/>
  </sheetData>
  <sheetProtection sort="0" autoFilter="0"/>
  <autoFilter ref="A6:Z769"/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59055118110236227" bottom="0.82677165354330717" header="0.51181102362204722" footer="0.59055118110236227"/>
  <pageSetup paperSize="5" scale="48" orientation="landscape" r:id="rId1"/>
  <headerFooter alignWithMargins="0">
    <oddFooter>Página &amp;P&amp;R&amp;A</oddFooter>
  </headerFooter>
  <rowBreaks count="1" manualBreakCount="1">
    <brk id="698" max="19" man="1"/>
  </rowBreaks>
  <colBreaks count="1" manualBreakCount="1">
    <brk id="2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18"/>
  <sheetViews>
    <sheetView topLeftCell="K1" zoomScaleNormal="100" workbookViewId="0">
      <selection activeCell="U20" sqref="U20"/>
    </sheetView>
  </sheetViews>
  <sheetFormatPr baseColWidth="10" defaultRowHeight="15.75" x14ac:dyDescent="0.25"/>
  <cols>
    <col min="1" max="1" width="11.42578125" style="377"/>
    <col min="2" max="2" width="54.42578125" style="377" customWidth="1"/>
    <col min="3" max="3" width="17" style="377" customWidth="1"/>
    <col min="4" max="4" width="19.140625" style="377" customWidth="1"/>
    <col min="5" max="5" width="32.42578125" style="377" customWidth="1"/>
    <col min="6" max="6" width="33.7109375" style="377" customWidth="1"/>
    <col min="7" max="7" width="21.42578125" style="377" bestFit="1" customWidth="1"/>
    <col min="8" max="8" width="6" style="377" hidden="1" customWidth="1"/>
    <col min="9" max="9" width="5.140625" style="377" hidden="1" customWidth="1"/>
    <col min="10" max="10" width="7" style="377" hidden="1" customWidth="1"/>
    <col min="11" max="11" width="12.140625" style="377" customWidth="1"/>
    <col min="12" max="12" width="22.7109375" style="377" customWidth="1"/>
    <col min="13" max="13" width="11.42578125" style="377"/>
    <col min="14" max="14" width="17.140625" style="377" customWidth="1"/>
    <col min="15" max="15" width="0" style="377" hidden="1" customWidth="1"/>
    <col min="16" max="23" width="11.42578125" style="377"/>
    <col min="24" max="24" width="7" style="377" customWidth="1"/>
    <col min="25" max="16384" width="11.42578125" style="377"/>
  </cols>
  <sheetData>
    <row r="2" spans="1:26" x14ac:dyDescent="0.25">
      <c r="A2" s="663" t="s">
        <v>0</v>
      </c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63"/>
      <c r="S2" s="663"/>
      <c r="T2" s="663"/>
      <c r="U2" s="663"/>
      <c r="V2" s="663"/>
      <c r="Z2" s="45"/>
    </row>
    <row r="3" spans="1:26" x14ac:dyDescent="0.25">
      <c r="A3" s="664" t="s">
        <v>2555</v>
      </c>
      <c r="B3" s="664"/>
      <c r="C3" s="664"/>
      <c r="D3" s="664"/>
      <c r="E3" s="664"/>
      <c r="F3" s="664"/>
      <c r="G3" s="664"/>
      <c r="H3" s="664"/>
      <c r="I3" s="664"/>
      <c r="J3" s="664"/>
      <c r="K3" s="664"/>
      <c r="L3" s="664"/>
      <c r="M3" s="664"/>
      <c r="N3" s="664"/>
      <c r="O3" s="664"/>
      <c r="P3" s="664"/>
      <c r="Q3" s="664"/>
      <c r="R3" s="664"/>
      <c r="S3" s="664"/>
      <c r="T3" s="664"/>
      <c r="U3" s="664"/>
      <c r="V3" s="664"/>
      <c r="Z3" s="45"/>
    </row>
    <row r="4" spans="1:26" x14ac:dyDescent="0.25">
      <c r="A4" s="664" t="str">
        <f>'Equipos de Producción'!A3:S3</f>
        <v>(Al 31 de Enero del 2016)</v>
      </c>
      <c r="B4" s="664"/>
      <c r="C4" s="664"/>
      <c r="D4" s="664"/>
      <c r="E4" s="664"/>
      <c r="F4" s="664"/>
      <c r="G4" s="664"/>
      <c r="H4" s="664"/>
      <c r="I4" s="664"/>
      <c r="J4" s="664"/>
      <c r="K4" s="664"/>
      <c r="L4" s="664"/>
      <c r="M4" s="664"/>
      <c r="N4" s="664"/>
      <c r="O4" s="664"/>
      <c r="P4" s="664"/>
      <c r="Q4" s="664"/>
      <c r="R4" s="664"/>
      <c r="S4" s="664"/>
      <c r="T4" s="664"/>
      <c r="U4" s="664"/>
      <c r="V4" s="664"/>
      <c r="Z4" s="45"/>
    </row>
    <row r="5" spans="1:26" x14ac:dyDescent="0.25">
      <c r="A5" s="654"/>
      <c r="B5" s="654"/>
      <c r="C5" s="654"/>
      <c r="D5" s="654"/>
      <c r="E5" s="654"/>
      <c r="F5" s="654"/>
      <c r="G5" s="654"/>
      <c r="H5" s="654"/>
      <c r="I5" s="654"/>
      <c r="J5" s="654"/>
      <c r="K5" s="654"/>
      <c r="L5" s="654"/>
      <c r="M5" s="654"/>
      <c r="N5" s="654"/>
      <c r="O5" s="654"/>
      <c r="P5" s="654"/>
      <c r="Q5" s="654"/>
      <c r="R5" s="654"/>
      <c r="S5" s="654"/>
      <c r="T5" s="654"/>
      <c r="U5" s="475"/>
      <c r="V5" s="476"/>
      <c r="Z5" s="121">
        <f>+'Equipos de Producción'!W4</f>
        <v>42400</v>
      </c>
    </row>
    <row r="6" spans="1:26" x14ac:dyDescent="0.25">
      <c r="A6" s="477"/>
      <c r="B6" s="477"/>
      <c r="C6" s="477"/>
      <c r="D6" s="477"/>
      <c r="E6" s="477"/>
      <c r="F6" s="477"/>
      <c r="G6" s="477"/>
      <c r="H6" s="657" t="s">
        <v>818</v>
      </c>
      <c r="I6" s="658"/>
      <c r="J6" s="659"/>
      <c r="K6" s="477"/>
      <c r="L6" s="477"/>
      <c r="M6" s="477"/>
      <c r="N6" s="478"/>
      <c r="O6" s="476"/>
      <c r="P6" s="476"/>
      <c r="Q6" s="660" t="s">
        <v>3</v>
      </c>
      <c r="R6" s="661"/>
      <c r="S6" s="661"/>
      <c r="T6" s="662"/>
      <c r="U6" s="380"/>
      <c r="V6" s="476"/>
      <c r="W6" s="476"/>
      <c r="X6" s="476"/>
      <c r="Y6" s="476"/>
      <c r="Z6" s="45"/>
    </row>
    <row r="7" spans="1:26" ht="46.5" customHeight="1" x14ac:dyDescent="0.25">
      <c r="A7" s="479" t="s">
        <v>4</v>
      </c>
      <c r="B7" s="479" t="s">
        <v>7</v>
      </c>
      <c r="C7" s="479" t="s">
        <v>8</v>
      </c>
      <c r="D7" s="479" t="s">
        <v>9</v>
      </c>
      <c r="E7" s="479" t="s">
        <v>10</v>
      </c>
      <c r="F7" s="479" t="s">
        <v>11</v>
      </c>
      <c r="G7" s="479" t="s">
        <v>12</v>
      </c>
      <c r="H7" s="480" t="s">
        <v>13</v>
      </c>
      <c r="I7" s="480" t="s">
        <v>14</v>
      </c>
      <c r="J7" s="481" t="s">
        <v>15</v>
      </c>
      <c r="K7" s="479" t="s">
        <v>16</v>
      </c>
      <c r="L7" s="479" t="s">
        <v>17</v>
      </c>
      <c r="M7" s="479" t="s">
        <v>18</v>
      </c>
      <c r="N7" s="482" t="s">
        <v>19</v>
      </c>
      <c r="O7" s="479" t="s">
        <v>20</v>
      </c>
      <c r="P7" s="479" t="s">
        <v>21</v>
      </c>
      <c r="Q7" s="385" t="s">
        <v>22</v>
      </c>
      <c r="R7" s="10" t="str">
        <f>+'Equipos de Producción'!$R$6</f>
        <v>Acumulada Diciembre 2015</v>
      </c>
      <c r="S7" s="10" t="str">
        <f>+'Equipos de Producción'!$S$6</f>
        <v>Acumulada Enero 2016</v>
      </c>
      <c r="T7" s="10" t="str">
        <f>+'Equipos de Producción'!$T$6</f>
        <v>Deprec. a Registrar Enero 2016</v>
      </c>
      <c r="U7" s="10" t="s">
        <v>23</v>
      </c>
      <c r="V7" s="479" t="s">
        <v>24</v>
      </c>
      <c r="W7" s="484"/>
      <c r="X7" s="484"/>
      <c r="Y7" s="484"/>
      <c r="Z7" s="387" t="s">
        <v>25</v>
      </c>
    </row>
    <row r="8" spans="1:26" ht="19.5" customHeight="1" x14ac:dyDescent="0.25">
      <c r="A8" s="40" t="s">
        <v>2556</v>
      </c>
      <c r="B8" s="40" t="s">
        <v>2928</v>
      </c>
      <c r="C8" s="40"/>
      <c r="D8" s="40" t="s">
        <v>2929</v>
      </c>
      <c r="E8" s="40"/>
      <c r="F8" s="40" t="s">
        <v>2930</v>
      </c>
      <c r="G8" s="132">
        <v>42394</v>
      </c>
      <c r="H8" s="476">
        <v>24</v>
      </c>
      <c r="I8" s="476">
        <v>6</v>
      </c>
      <c r="J8" s="476">
        <v>2009</v>
      </c>
      <c r="K8" s="476" t="s">
        <v>538</v>
      </c>
      <c r="L8" s="476" t="s">
        <v>2931</v>
      </c>
      <c r="M8" s="476" t="s">
        <v>2000</v>
      </c>
      <c r="N8" s="683">
        <v>26699.99</v>
      </c>
      <c r="P8" s="377">
        <v>10</v>
      </c>
      <c r="Q8" s="30">
        <f>(((N8)-1)/10)/12</f>
        <v>222.49158333333335</v>
      </c>
      <c r="R8" s="5">
        <v>0</v>
      </c>
      <c r="S8" s="313">
        <f>Z8*Q8</f>
        <v>0</v>
      </c>
      <c r="T8" s="15">
        <f>S8-R8</f>
        <v>0</v>
      </c>
      <c r="U8" s="135">
        <f>N8-S8</f>
        <v>26699.99</v>
      </c>
      <c r="X8" s="488">
        <f>((2011-J8)*12)+(12-I8)+1</f>
        <v>31</v>
      </c>
      <c r="Y8" s="78"/>
      <c r="Z8" s="44">
        <f>IF((DATEDIF(G8,Z$5,"m"))&gt;=60,60,(DATEDIF(G8,Z$5,"m")))</f>
        <v>0</v>
      </c>
    </row>
    <row r="9" spans="1:26" ht="19.5" customHeight="1" x14ac:dyDescent="0.25">
      <c r="A9" s="40"/>
      <c r="B9" s="40" t="s">
        <v>2936</v>
      </c>
      <c r="C9" s="40" t="s">
        <v>2937</v>
      </c>
      <c r="D9" s="40"/>
      <c r="E9" s="40"/>
      <c r="F9" s="97" t="s">
        <v>2047</v>
      </c>
      <c r="G9" s="132">
        <v>42398</v>
      </c>
      <c r="H9" s="476">
        <v>24</v>
      </c>
      <c r="I9" s="476">
        <v>6</v>
      </c>
      <c r="J9" s="476">
        <v>2009</v>
      </c>
      <c r="K9" s="476" t="s">
        <v>538</v>
      </c>
      <c r="L9" s="476" t="s">
        <v>2935</v>
      </c>
      <c r="M9" s="476" t="s">
        <v>2000</v>
      </c>
      <c r="N9" s="683">
        <v>12595</v>
      </c>
      <c r="P9" s="377">
        <v>10</v>
      </c>
      <c r="Q9" s="30">
        <f>(((N9)-1)/10)/12</f>
        <v>104.95</v>
      </c>
      <c r="R9" s="5">
        <v>0</v>
      </c>
      <c r="S9" s="313">
        <f>Z9*Q9</f>
        <v>0</v>
      </c>
      <c r="T9" s="15">
        <f>S9-R9</f>
        <v>0</v>
      </c>
      <c r="U9" s="135">
        <f>N9-S9</f>
        <v>12595</v>
      </c>
      <c r="X9" s="488">
        <f>((2011-J9)*12)+(12-I9)+1</f>
        <v>31</v>
      </c>
      <c r="Y9" s="78"/>
      <c r="Z9" s="44">
        <f>IF((DATEDIF(G9,Z$5,"m"))&gt;=60,60,(DATEDIF(G9,Z$5,"m")))</f>
        <v>0</v>
      </c>
    </row>
    <row r="10" spans="1:26" ht="19.5" customHeight="1" x14ac:dyDescent="0.25">
      <c r="A10" s="40"/>
      <c r="B10" s="40"/>
      <c r="C10" s="40"/>
      <c r="D10" s="40"/>
      <c r="E10" s="40"/>
      <c r="F10" s="40"/>
      <c r="G10" s="132"/>
      <c r="H10" s="476"/>
      <c r="I10" s="476"/>
      <c r="J10" s="476"/>
      <c r="K10" s="476"/>
      <c r="L10" s="476"/>
      <c r="M10" s="476"/>
      <c r="N10" s="683"/>
      <c r="Q10" s="30"/>
      <c r="R10" s="5"/>
      <c r="S10" s="313"/>
      <c r="T10" s="15"/>
      <c r="U10" s="135"/>
      <c r="X10" s="488"/>
      <c r="Y10" s="78"/>
      <c r="Z10" s="44"/>
    </row>
    <row r="11" spans="1:26" ht="19.5" customHeight="1" x14ac:dyDescent="0.25">
      <c r="A11" s="40"/>
      <c r="B11" s="40"/>
      <c r="C11" s="40"/>
      <c r="D11" s="40"/>
      <c r="E11" s="40"/>
      <c r="F11" s="40"/>
      <c r="G11" s="132"/>
      <c r="H11" s="476"/>
      <c r="I11" s="476"/>
      <c r="J11" s="476"/>
      <c r="K11" s="476"/>
      <c r="L11" s="476"/>
      <c r="M11" s="476"/>
      <c r="N11" s="683"/>
      <c r="Q11" s="30"/>
      <c r="R11" s="5"/>
      <c r="S11" s="313"/>
      <c r="T11" s="15"/>
      <c r="U11" s="135"/>
      <c r="X11" s="488"/>
      <c r="Y11" s="78"/>
      <c r="Z11" s="44"/>
    </row>
    <row r="12" spans="1:26" ht="19.5" customHeight="1" x14ac:dyDescent="0.25">
      <c r="A12" s="40"/>
      <c r="B12" s="40"/>
      <c r="C12" s="40"/>
      <c r="D12" s="40"/>
      <c r="E12" s="40"/>
      <c r="F12" s="40"/>
      <c r="G12" s="132"/>
      <c r="H12" s="476"/>
      <c r="I12" s="476"/>
      <c r="J12" s="476"/>
      <c r="K12" s="476"/>
      <c r="L12" s="476"/>
      <c r="M12" s="476"/>
      <c r="N12" s="683"/>
      <c r="Q12" s="30"/>
      <c r="R12" s="5"/>
      <c r="S12" s="313"/>
      <c r="T12" s="15"/>
      <c r="U12" s="135"/>
      <c r="X12" s="488"/>
      <c r="Y12" s="78"/>
      <c r="Z12" s="44"/>
    </row>
    <row r="13" spans="1:26" ht="19.5" customHeight="1" thickBot="1" x14ac:dyDescent="0.3">
      <c r="A13" s="40"/>
      <c r="B13" s="40"/>
      <c r="C13" s="40"/>
      <c r="D13" s="40"/>
      <c r="E13" s="40"/>
      <c r="F13" s="40"/>
      <c r="G13" s="132"/>
      <c r="H13" s="476"/>
      <c r="I13" s="476"/>
      <c r="J13" s="476"/>
      <c r="K13" s="476"/>
      <c r="L13" s="476"/>
      <c r="M13" s="476"/>
      <c r="N13" s="683"/>
      <c r="Q13" s="30"/>
      <c r="R13" s="5"/>
      <c r="S13" s="313"/>
      <c r="T13" s="15"/>
      <c r="U13" s="135"/>
      <c r="X13" s="488"/>
      <c r="Y13" s="78"/>
      <c r="Z13" s="44"/>
    </row>
    <row r="14" spans="1:26" ht="16.5" thickBot="1" x14ac:dyDescent="0.3">
      <c r="B14" s="489" t="s">
        <v>2563</v>
      </c>
      <c r="C14" s="476"/>
      <c r="D14" s="476"/>
      <c r="E14" s="476"/>
      <c r="F14" s="476"/>
      <c r="G14" s="476"/>
      <c r="H14" s="476"/>
      <c r="I14" s="476"/>
      <c r="J14" s="476"/>
      <c r="K14" s="476"/>
      <c r="L14" s="477"/>
      <c r="M14" s="476"/>
      <c r="N14" s="490">
        <f>SUM(N8:N13)</f>
        <v>39294.990000000005</v>
      </c>
      <c r="O14" s="491"/>
      <c r="P14" s="491"/>
      <c r="Q14" s="490">
        <v>0</v>
      </c>
      <c r="R14" s="490">
        <f t="shared" ref="R14:U14" si="0">SUM(R8:R13)</f>
        <v>0</v>
      </c>
      <c r="S14" s="490">
        <f t="shared" si="0"/>
        <v>0</v>
      </c>
      <c r="T14" s="490">
        <f t="shared" si="0"/>
        <v>0</v>
      </c>
      <c r="U14" s="490">
        <f t="shared" si="0"/>
        <v>39294.990000000005</v>
      </c>
      <c r="V14" s="491"/>
    </row>
    <row r="15" spans="1:26" ht="16.5" thickTop="1" x14ac:dyDescent="0.25"/>
    <row r="16" spans="1:26" s="476" customFormat="1" x14ac:dyDescent="0.25"/>
    <row r="17" spans="17:18" s="476" customFormat="1" x14ac:dyDescent="0.25">
      <c r="Q17" s="478"/>
    </row>
    <row r="18" spans="17:18" x14ac:dyDescent="0.25">
      <c r="Q18" s="380"/>
      <c r="R18" s="380"/>
    </row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16"/>
  <sheetViews>
    <sheetView zoomScaleNormal="100" workbookViewId="0">
      <selection activeCell="T24" sqref="T24"/>
    </sheetView>
  </sheetViews>
  <sheetFormatPr baseColWidth="10" defaultRowHeight="15.75" x14ac:dyDescent="0.25"/>
  <cols>
    <col min="1" max="1" width="11.42578125" style="377"/>
    <col min="2" max="2" width="54.42578125" style="377" customWidth="1"/>
    <col min="3" max="3" width="17" style="377" customWidth="1"/>
    <col min="4" max="4" width="19.140625" style="377" customWidth="1"/>
    <col min="5" max="5" width="32.42578125" style="377" customWidth="1"/>
    <col min="6" max="6" width="33.7109375" style="377" customWidth="1"/>
    <col min="7" max="7" width="21.42578125" style="377" bestFit="1" customWidth="1"/>
    <col min="8" max="8" width="6" style="377" customWidth="1"/>
    <col min="9" max="9" width="5.140625" style="377" customWidth="1"/>
    <col min="10" max="10" width="7" style="377" customWidth="1"/>
    <col min="11" max="11" width="12.140625" style="377" customWidth="1"/>
    <col min="12" max="12" width="12.28515625" style="377" customWidth="1"/>
    <col min="13" max="13" width="11.42578125" style="377"/>
    <col min="14" max="14" width="17.140625" style="377" customWidth="1"/>
    <col min="15" max="18" width="11.42578125" style="377"/>
    <col min="19" max="19" width="11.5703125" style="377" bestFit="1" customWidth="1"/>
    <col min="20" max="20" width="11.5703125" style="377" customWidth="1"/>
    <col min="21" max="23" width="11.42578125" style="377"/>
    <col min="24" max="24" width="7" style="377" customWidth="1"/>
    <col min="25" max="16384" width="11.42578125" style="377"/>
  </cols>
  <sheetData>
    <row r="2" spans="1:26" x14ac:dyDescent="0.25">
      <c r="A2" s="663" t="s">
        <v>0</v>
      </c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63"/>
      <c r="S2" s="663"/>
      <c r="T2" s="663"/>
      <c r="U2" s="663"/>
      <c r="V2" s="663"/>
      <c r="Z2" s="45"/>
    </row>
    <row r="3" spans="1:26" x14ac:dyDescent="0.25">
      <c r="A3" s="664" t="s">
        <v>2555</v>
      </c>
      <c r="B3" s="664"/>
      <c r="C3" s="664"/>
      <c r="D3" s="664"/>
      <c r="E3" s="664"/>
      <c r="F3" s="664"/>
      <c r="G3" s="664"/>
      <c r="H3" s="664"/>
      <c r="I3" s="664"/>
      <c r="J3" s="664"/>
      <c r="K3" s="664"/>
      <c r="L3" s="664"/>
      <c r="M3" s="664"/>
      <c r="N3" s="664"/>
      <c r="O3" s="664"/>
      <c r="P3" s="664"/>
      <c r="Q3" s="664"/>
      <c r="R3" s="664"/>
      <c r="S3" s="664"/>
      <c r="T3" s="664"/>
      <c r="U3" s="664"/>
      <c r="V3" s="664"/>
      <c r="Z3" s="45"/>
    </row>
    <row r="4" spans="1:26" x14ac:dyDescent="0.25">
      <c r="A4" s="664" t="str">
        <f>'Equipos de Producción'!A3:S3</f>
        <v>(Al 31 de Enero del 2016)</v>
      </c>
      <c r="B4" s="664"/>
      <c r="C4" s="664"/>
      <c r="D4" s="664"/>
      <c r="E4" s="664"/>
      <c r="F4" s="664"/>
      <c r="G4" s="664"/>
      <c r="H4" s="664"/>
      <c r="I4" s="664"/>
      <c r="J4" s="664"/>
      <c r="K4" s="664"/>
      <c r="L4" s="664"/>
      <c r="M4" s="664"/>
      <c r="N4" s="664"/>
      <c r="O4" s="664"/>
      <c r="P4" s="664"/>
      <c r="Q4" s="664"/>
      <c r="R4" s="664"/>
      <c r="S4" s="664"/>
      <c r="T4" s="664"/>
      <c r="U4" s="664"/>
      <c r="V4" s="664"/>
      <c r="Z4" s="45"/>
    </row>
    <row r="5" spans="1:26" x14ac:dyDescent="0.25">
      <c r="A5" s="474"/>
      <c r="B5" s="474"/>
      <c r="C5" s="474"/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  <c r="Q5" s="474"/>
      <c r="R5" s="474"/>
      <c r="S5" s="474"/>
      <c r="T5" s="474"/>
      <c r="U5" s="475"/>
      <c r="V5" s="476"/>
      <c r="Z5" s="121">
        <f>'Equipos de Producción'!$W$4</f>
        <v>42400</v>
      </c>
    </row>
    <row r="6" spans="1:26" x14ac:dyDescent="0.25">
      <c r="A6" s="477"/>
      <c r="B6" s="477"/>
      <c r="C6" s="477"/>
      <c r="D6" s="477"/>
      <c r="E6" s="477"/>
      <c r="F6" s="477"/>
      <c r="G6" s="477"/>
      <c r="H6" s="657" t="s">
        <v>818</v>
      </c>
      <c r="I6" s="658"/>
      <c r="J6" s="659"/>
      <c r="K6" s="477"/>
      <c r="L6" s="477"/>
      <c r="M6" s="477"/>
      <c r="N6" s="478"/>
      <c r="O6" s="476"/>
      <c r="P6" s="476"/>
      <c r="Q6" s="660" t="s">
        <v>3</v>
      </c>
      <c r="R6" s="661"/>
      <c r="S6" s="661"/>
      <c r="T6" s="662"/>
      <c r="U6" s="380"/>
      <c r="V6" s="476"/>
      <c r="W6" s="476"/>
      <c r="X6" s="476"/>
      <c r="Y6" s="476"/>
      <c r="Z6" s="45"/>
    </row>
    <row r="7" spans="1:26" ht="47.25" customHeight="1" x14ac:dyDescent="0.25">
      <c r="A7" s="479" t="s">
        <v>4</v>
      </c>
      <c r="B7" s="479" t="s">
        <v>7</v>
      </c>
      <c r="C7" s="479" t="s">
        <v>8</v>
      </c>
      <c r="D7" s="479" t="s">
        <v>9</v>
      </c>
      <c r="E7" s="479" t="s">
        <v>10</v>
      </c>
      <c r="F7" s="479" t="s">
        <v>11</v>
      </c>
      <c r="G7" s="479" t="s">
        <v>12</v>
      </c>
      <c r="H7" s="480" t="s">
        <v>13</v>
      </c>
      <c r="I7" s="480" t="s">
        <v>14</v>
      </c>
      <c r="J7" s="481" t="s">
        <v>15</v>
      </c>
      <c r="K7" s="479" t="s">
        <v>16</v>
      </c>
      <c r="L7" s="479" t="s">
        <v>17</v>
      </c>
      <c r="M7" s="479" t="s">
        <v>18</v>
      </c>
      <c r="N7" s="482" t="s">
        <v>19</v>
      </c>
      <c r="O7" s="479" t="s">
        <v>20</v>
      </c>
      <c r="P7" s="479" t="s">
        <v>21</v>
      </c>
      <c r="Q7" s="9" t="s">
        <v>22</v>
      </c>
      <c r="R7" s="10" t="str">
        <f>+'Equipos de Producción'!$R$6</f>
        <v>Acumulada Diciembre 2015</v>
      </c>
      <c r="S7" s="10" t="str">
        <f>+'Equipos de Producción'!$S$6</f>
        <v>Acumulada Enero 2016</v>
      </c>
      <c r="T7" s="10" t="str">
        <f>+'Equipos de Producción'!$T$6</f>
        <v>Deprec. a Registrar Enero 2016</v>
      </c>
      <c r="U7" s="129" t="s">
        <v>23</v>
      </c>
      <c r="V7" s="479" t="s">
        <v>24</v>
      </c>
      <c r="W7" s="484"/>
      <c r="X7" s="484"/>
      <c r="Y7" s="484"/>
      <c r="Z7" s="387" t="s">
        <v>25</v>
      </c>
    </row>
    <row r="8" spans="1:26" s="592" customFormat="1" ht="16.5" customHeight="1" x14ac:dyDescent="0.25">
      <c r="B8" s="593" t="s">
        <v>2630</v>
      </c>
      <c r="C8" s="594"/>
      <c r="D8" s="594"/>
      <c r="E8" s="594"/>
      <c r="F8" s="594" t="s">
        <v>884</v>
      </c>
      <c r="G8" s="132" t="str">
        <f>CONCATENATE(H8,"/",I8,"/",J8,)</f>
        <v>24/6/2009</v>
      </c>
      <c r="H8" s="594">
        <v>24</v>
      </c>
      <c r="I8" s="599">
        <v>6</v>
      </c>
      <c r="J8" s="594">
        <v>2009</v>
      </c>
      <c r="K8" s="594" t="s">
        <v>538</v>
      </c>
      <c r="L8" s="477" t="s">
        <v>2631</v>
      </c>
      <c r="M8" s="594" t="s">
        <v>2000</v>
      </c>
      <c r="N8" s="598">
        <v>28500</v>
      </c>
      <c r="P8" s="592">
        <v>5</v>
      </c>
      <c r="Q8" s="30">
        <v>0</v>
      </c>
      <c r="R8" s="30">
        <v>28499</v>
      </c>
      <c r="S8" s="30">
        <v>28499</v>
      </c>
      <c r="T8" s="595">
        <v>0</v>
      </c>
      <c r="U8" s="596">
        <f>N8-S8</f>
        <v>1</v>
      </c>
      <c r="X8" s="597">
        <f>((2011-J8)*12)+(12-I8)+1</f>
        <v>31</v>
      </c>
      <c r="Y8" s="53"/>
      <c r="Z8" s="44">
        <f>IF((DATEDIF(G8,Z$5,"m"))&gt;=60,60,(DATEDIF(G8,Z$5,"m")))</f>
        <v>60</v>
      </c>
    </row>
    <row r="9" spans="1:26" s="592" customFormat="1" ht="16.5" customHeight="1" x14ac:dyDescent="0.25">
      <c r="B9" s="593" t="s">
        <v>2758</v>
      </c>
      <c r="C9" s="594"/>
      <c r="D9" s="594" t="s">
        <v>2759</v>
      </c>
      <c r="E9" s="594"/>
      <c r="F9" s="594" t="s">
        <v>884</v>
      </c>
      <c r="G9" s="132" t="str">
        <f>CONCATENATE(H9,"/",I9,"/",J9,)</f>
        <v>20/1/2015</v>
      </c>
      <c r="H9" s="594">
        <v>20</v>
      </c>
      <c r="I9" s="599">
        <v>1</v>
      </c>
      <c r="J9" s="594">
        <v>2015</v>
      </c>
      <c r="K9" s="594" t="s">
        <v>538</v>
      </c>
      <c r="L9" s="477" t="s">
        <v>2757</v>
      </c>
      <c r="M9" s="594" t="s">
        <v>2000</v>
      </c>
      <c r="N9" s="598">
        <v>8023.76</v>
      </c>
      <c r="P9" s="592">
        <v>5</v>
      </c>
      <c r="Q9" s="30">
        <f>(((N9)-1)/5)/12</f>
        <v>133.71266666666668</v>
      </c>
      <c r="R9" s="30">
        <v>1470.8393333333333</v>
      </c>
      <c r="S9" s="595">
        <f>Q9*Z9</f>
        <v>1604.5520000000001</v>
      </c>
      <c r="T9" s="77">
        <f t="shared" ref="T9:T11" si="0">+S9-R9</f>
        <v>133.71266666666679</v>
      </c>
      <c r="U9" s="596">
        <f>N9-S9</f>
        <v>6419.2080000000005</v>
      </c>
      <c r="X9" s="597">
        <f>((2011-J9)*12)+(12-I9)+1</f>
        <v>-36</v>
      </c>
      <c r="Y9" s="53"/>
      <c r="Z9" s="44">
        <f>IF((DATEDIF(G9,Z$5,"m"))&gt;=60,60,(DATEDIF(G9,Z$5,"m")))</f>
        <v>12</v>
      </c>
    </row>
    <row r="10" spans="1:26" s="592" customFormat="1" ht="16.5" customHeight="1" x14ac:dyDescent="0.25">
      <c r="B10" s="593" t="s">
        <v>2760</v>
      </c>
      <c r="C10" s="594"/>
      <c r="D10" s="594"/>
      <c r="E10" s="594"/>
      <c r="F10" s="594" t="s">
        <v>884</v>
      </c>
      <c r="G10" s="132" t="str">
        <f>CONCATENATE(H10,"/",I10,"/",J10,)</f>
        <v>20/1/2015</v>
      </c>
      <c r="H10" s="594">
        <v>20</v>
      </c>
      <c r="I10" s="599">
        <v>1</v>
      </c>
      <c r="J10" s="594">
        <v>2015</v>
      </c>
      <c r="K10" s="594" t="s">
        <v>538</v>
      </c>
      <c r="L10" s="477" t="s">
        <v>2757</v>
      </c>
      <c r="M10" s="594" t="s">
        <v>2000</v>
      </c>
      <c r="N10" s="598">
        <v>4926.5</v>
      </c>
      <c r="P10" s="592">
        <v>5</v>
      </c>
      <c r="Q10" s="30">
        <f>(((N10)-1)/5)/12</f>
        <v>82.091666666666669</v>
      </c>
      <c r="R10" s="30">
        <v>903.00833333333333</v>
      </c>
      <c r="S10" s="595">
        <f>Q10*Z10</f>
        <v>985.1</v>
      </c>
      <c r="T10" s="77">
        <f t="shared" si="0"/>
        <v>82.091666666666697</v>
      </c>
      <c r="U10" s="596">
        <f>N10-S10</f>
        <v>3941.4</v>
      </c>
      <c r="X10" s="597">
        <f>((2011-J10)*12)+(12-I10)+1</f>
        <v>-36</v>
      </c>
      <c r="Y10" s="53"/>
      <c r="Z10" s="44">
        <f>IF((DATEDIF(G10,Z$5,"m"))&gt;=60,60,(DATEDIF(G10,Z$5,"m")))</f>
        <v>12</v>
      </c>
    </row>
    <row r="11" spans="1:26" s="592" customFormat="1" ht="16.5" customHeight="1" x14ac:dyDescent="0.25">
      <c r="B11" s="593" t="s">
        <v>2815</v>
      </c>
      <c r="C11" s="594"/>
      <c r="D11" s="594"/>
      <c r="E11" s="594"/>
      <c r="F11" s="594" t="s">
        <v>884</v>
      </c>
      <c r="G11" s="132" t="str">
        <f>CONCATENATE(H11,"/",I11,"/",J11,)</f>
        <v>3/2/2015</v>
      </c>
      <c r="H11" s="594">
        <v>3</v>
      </c>
      <c r="I11" s="599">
        <v>2</v>
      </c>
      <c r="J11" s="594">
        <v>2015</v>
      </c>
      <c r="K11" s="594" t="s">
        <v>538</v>
      </c>
      <c r="L11" s="477" t="s">
        <v>2816</v>
      </c>
      <c r="M11" s="594" t="s">
        <v>2000</v>
      </c>
      <c r="N11" s="598">
        <v>55622.73</v>
      </c>
      <c r="P11" s="592">
        <v>5</v>
      </c>
      <c r="Q11" s="30">
        <f>(((N11)-1)/5)/12</f>
        <v>927.02883333333341</v>
      </c>
      <c r="R11" s="30">
        <v>9270.2883333333339</v>
      </c>
      <c r="S11" s="595">
        <f>Q11*Z11</f>
        <v>10197.317166666668</v>
      </c>
      <c r="T11" s="77">
        <f t="shared" si="0"/>
        <v>927.02883333333375</v>
      </c>
      <c r="U11" s="596">
        <f>N11-S11</f>
        <v>45425.412833333336</v>
      </c>
      <c r="X11" s="597">
        <f>((2011-J11)*12)+(12-I11)+1</f>
        <v>-37</v>
      </c>
      <c r="Y11" s="53"/>
      <c r="Z11" s="44">
        <f>IF((DATEDIF(G11,Z$5,"m"))&gt;=60,60,(DATEDIF(G11,Z$5,"m")))</f>
        <v>11</v>
      </c>
    </row>
    <row r="12" spans="1:26" s="592" customFormat="1" ht="16.5" customHeight="1" x14ac:dyDescent="0.25">
      <c r="B12" s="593" t="s">
        <v>2860</v>
      </c>
      <c r="C12" s="594"/>
      <c r="D12" s="594"/>
      <c r="E12" s="594"/>
      <c r="F12" s="594" t="s">
        <v>563</v>
      </c>
      <c r="G12" s="132" t="str">
        <f>CONCATENATE(H12,"/",I12,"/",J12,)</f>
        <v>1/4/2015</v>
      </c>
      <c r="H12" s="594">
        <v>1</v>
      </c>
      <c r="I12" s="599">
        <v>4</v>
      </c>
      <c r="J12" s="594">
        <v>2015</v>
      </c>
      <c r="K12" s="594" t="s">
        <v>538</v>
      </c>
      <c r="L12" s="477" t="s">
        <v>2835</v>
      </c>
      <c r="M12" s="594" t="s">
        <v>2000</v>
      </c>
      <c r="N12" s="598">
        <v>4974.95</v>
      </c>
      <c r="P12" s="592">
        <v>5</v>
      </c>
      <c r="Q12" s="30">
        <f>(((N12)-1)/5)/12</f>
        <v>82.899166666666659</v>
      </c>
      <c r="R12" s="30">
        <v>663.19333333333327</v>
      </c>
      <c r="S12" s="595">
        <f>Q12*Z12</f>
        <v>746.09249999999997</v>
      </c>
      <c r="T12" s="77">
        <f t="shared" ref="T12" si="1">+S12-R12</f>
        <v>82.899166666666702</v>
      </c>
      <c r="U12" s="596">
        <f>N12-S12</f>
        <v>4228.8575000000001</v>
      </c>
      <c r="X12" s="597">
        <f>((2011-J12)*12)+(12-I12)+1</f>
        <v>-39</v>
      </c>
      <c r="Y12" s="53"/>
      <c r="Z12" s="44">
        <f>IF((DATEDIF(G12,Z$5,"m"))&gt;=60,60,(DATEDIF(G12,Z$5,"m")))</f>
        <v>9</v>
      </c>
    </row>
    <row r="13" spans="1:26" ht="16.5" thickBot="1" x14ac:dyDescent="0.3">
      <c r="B13" s="489" t="s">
        <v>2563</v>
      </c>
      <c r="C13" s="476"/>
      <c r="D13" s="476"/>
      <c r="E13" s="476"/>
      <c r="F13" s="476"/>
      <c r="G13" s="476"/>
      <c r="H13" s="476"/>
      <c r="I13" s="476"/>
      <c r="J13" s="476"/>
      <c r="K13" s="476"/>
      <c r="L13" s="477"/>
      <c r="M13" s="476"/>
      <c r="N13" s="606">
        <f>SUM(N8:N12)</f>
        <v>102047.94</v>
      </c>
      <c r="Q13" s="606">
        <f>SUM(Q8:Q12)</f>
        <v>1225.7323333333334</v>
      </c>
      <c r="R13" s="606">
        <v>40806.329333333335</v>
      </c>
      <c r="S13" s="606">
        <f>SUM(S8:S12)</f>
        <v>42032.061666666661</v>
      </c>
      <c r="T13" s="606">
        <f>SUM(T8:T12)</f>
        <v>1225.7323333333338</v>
      </c>
      <c r="U13" s="606">
        <f>SUM(U8:U12)</f>
        <v>60015.878333333334</v>
      </c>
    </row>
    <row r="14" spans="1:26" ht="16.5" thickTop="1" x14ac:dyDescent="0.25"/>
    <row r="15" spans="1:26" s="476" customFormat="1" x14ac:dyDescent="0.25"/>
    <row r="16" spans="1:26" s="476" customFormat="1" x14ac:dyDescent="0.25"/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15</vt:i4>
      </vt:variant>
    </vt:vector>
  </HeadingPairs>
  <TitlesOfParts>
    <vt:vector size="27" baseType="lpstr">
      <vt:lpstr>Equipos de Producción</vt:lpstr>
      <vt:lpstr>Equipos Educativos</vt:lpstr>
      <vt:lpstr>Equipos de Transporte</vt:lpstr>
      <vt:lpstr>Eq. Computos </vt:lpstr>
      <vt:lpstr>Equipos Médicos</vt:lpstr>
      <vt:lpstr>Equipos de Comunicaciones</vt:lpstr>
      <vt:lpstr>Eq. y Muebles de Ofic.</vt:lpstr>
      <vt:lpstr>Electrodomésticos</vt:lpstr>
      <vt:lpstr>Equipos Varios</vt:lpstr>
      <vt:lpstr>Edificaciones</vt:lpstr>
      <vt:lpstr>Obras de Arte</vt:lpstr>
      <vt:lpstr>Resumén</vt:lpstr>
      <vt:lpstr>Edificaciones!Área_de_impresión</vt:lpstr>
      <vt:lpstr>Electrodomésticos!Área_de_impresión</vt:lpstr>
      <vt:lpstr>'Eq. Computos '!Área_de_impresión</vt:lpstr>
      <vt:lpstr>'Eq. y Muebles de Ofic.'!Área_de_impresión</vt:lpstr>
      <vt:lpstr>'Equipos de Comunicaciones'!Área_de_impresión</vt:lpstr>
      <vt:lpstr>'Equipos de Producción'!Área_de_impresión</vt:lpstr>
      <vt:lpstr>'Equipos de Transporte'!Área_de_impresión</vt:lpstr>
      <vt:lpstr>'Equipos Educativos'!Área_de_impresión</vt:lpstr>
      <vt:lpstr>'Equipos Médicos'!Área_de_impresión</vt:lpstr>
      <vt:lpstr>'Equipos Varios'!Área_de_impresión</vt:lpstr>
      <vt:lpstr>'Obras de Arte'!Área_de_impresión</vt:lpstr>
      <vt:lpstr>'Eq. Computos '!Títulos_a_imprimir</vt:lpstr>
      <vt:lpstr>'Eq. y Muebles de Ofic.'!Títulos_a_imprimir</vt:lpstr>
      <vt:lpstr>'Equipos Médicos'!Títulos_a_imprimir</vt:lpstr>
      <vt:lpstr>'Obras de Arte'!Títulos_a_imprimir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miguel.rivera</dc:creator>
  <cp:lastModifiedBy>Miguel MR. Rivera</cp:lastModifiedBy>
  <cp:lastPrinted>2015-06-01T16:01:24Z</cp:lastPrinted>
  <dcterms:created xsi:type="dcterms:W3CDTF">2015-04-07T19:09:43Z</dcterms:created>
  <dcterms:modified xsi:type="dcterms:W3CDTF">2016-02-09T15:13:39Z</dcterms:modified>
</cp:coreProperties>
</file>